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gbreault\Desktop\"/>
    </mc:Choice>
  </mc:AlternateContent>
  <xr:revisionPtr revIDLastSave="0" documentId="8_{5FECDE56-2C45-4ED9-A8AC-A67A191B0352}" xr6:coauthVersionLast="47" xr6:coauthVersionMax="47" xr10:uidLastSave="{00000000-0000-0000-0000-000000000000}"/>
  <workbookProtection workbookAlgorithmName="SHA-512" workbookHashValue="D1jiTi7opspj3j68hxs/kbmjxnFGt4DzXdyMBLpgAD+vJ+LTuYRWTly4xlZdDBHwfDOJGcWBV+NTBmaBpixTDA==" workbookSaltValue="F0paKvJdMUicwfcT1G9BQA==" workbookSpinCount="100000" lockStructure="1"/>
  <bookViews>
    <workbookView xWindow="-120" yWindow="-120" windowWidth="29040" windowHeight="15840" tabRatio="629" activeTab="7" xr2:uid="{00000000-000D-0000-FFFF-FFFF00000000}"/>
  </bookViews>
  <sheets>
    <sheet name="Referral" sheetId="22" r:id="rId1"/>
    <sheet name="Roster" sheetId="1" r:id="rId2"/>
    <sheet name="Meetings" sheetId="18" r:id="rId3"/>
    <sheet name="Suicide" sheetId="8" r:id="rId4"/>
    <sheet name="Recommendations" sheetId="15" r:id="rId5"/>
    <sheet name="Non-Treatment Supports General" sheetId="16" r:id="rId6"/>
    <sheet name="Mental Health Treatment" sheetId="17" r:id="rId7"/>
    <sheet name="Drug &amp; Alcohol" sheetId="19" r:id="rId8"/>
    <sheet name="Report" sheetId="21" r:id="rId9"/>
    <sheet name="DropDown Lists" sheetId="3" state="hidden" r:id="rId10"/>
  </sheets>
  <definedNames>
    <definedName name="_xlnm._FilterDatabase" localSheetId="1" hidden="1">Roster!$A$2:$H$2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21" l="1"/>
  <c r="I30" i="21"/>
  <c r="I29" i="21"/>
  <c r="I57" i="21"/>
  <c r="A301" i="15"/>
  <c r="B301" i="15"/>
  <c r="D51" i="15"/>
  <c r="E51" i="15"/>
  <c r="D52" i="15"/>
  <c r="E52" i="15"/>
  <c r="D53" i="15"/>
  <c r="E53" i="15"/>
  <c r="D54" i="15"/>
  <c r="E54" i="15"/>
  <c r="D55" i="15"/>
  <c r="E55" i="15"/>
  <c r="D56" i="15"/>
  <c r="E56" i="15"/>
  <c r="D57" i="15"/>
  <c r="E57" i="15"/>
  <c r="D58" i="15"/>
  <c r="E58" i="15"/>
  <c r="D59" i="15"/>
  <c r="E59" i="15"/>
  <c r="D60" i="15"/>
  <c r="E60" i="15"/>
  <c r="D61" i="15"/>
  <c r="E61" i="15"/>
  <c r="D62" i="15"/>
  <c r="E62" i="15"/>
  <c r="D63" i="15"/>
  <c r="E63" i="15"/>
  <c r="D64" i="15"/>
  <c r="E64" i="15"/>
  <c r="D65" i="15"/>
  <c r="E65" i="15"/>
  <c r="D66" i="15"/>
  <c r="E66" i="15"/>
  <c r="D67" i="15"/>
  <c r="E67" i="15"/>
  <c r="D68" i="15"/>
  <c r="E68" i="15"/>
  <c r="D69" i="15"/>
  <c r="E69" i="15"/>
  <c r="D70" i="15"/>
  <c r="E70" i="15"/>
  <c r="D71" i="15"/>
  <c r="E71" i="15"/>
  <c r="D72" i="15"/>
  <c r="E72" i="15"/>
  <c r="D73" i="15"/>
  <c r="E73" i="15"/>
  <c r="D74" i="15"/>
  <c r="E74" i="15"/>
  <c r="D75" i="15"/>
  <c r="E75" i="15"/>
  <c r="D76" i="15"/>
  <c r="E76" i="15"/>
  <c r="D77" i="15"/>
  <c r="E77" i="15"/>
  <c r="D78" i="15"/>
  <c r="E78" i="15"/>
  <c r="D79" i="15"/>
  <c r="E79" i="15"/>
  <c r="D80" i="15"/>
  <c r="E80" i="15"/>
  <c r="D81" i="15"/>
  <c r="E81" i="15"/>
  <c r="D82" i="15"/>
  <c r="E82" i="15"/>
  <c r="D83" i="15"/>
  <c r="E83" i="15"/>
  <c r="D84" i="15"/>
  <c r="E84" i="15"/>
  <c r="D85" i="15"/>
  <c r="E85" i="15"/>
  <c r="D86" i="15"/>
  <c r="E86" i="15"/>
  <c r="D87" i="15"/>
  <c r="E87" i="15"/>
  <c r="D88" i="15"/>
  <c r="E88" i="15"/>
  <c r="D89" i="15"/>
  <c r="E89" i="15"/>
  <c r="D90" i="15"/>
  <c r="E90" i="15"/>
  <c r="D91" i="15"/>
  <c r="E91" i="15"/>
  <c r="D92" i="15"/>
  <c r="E92" i="15"/>
  <c r="D93" i="15"/>
  <c r="E93" i="15"/>
  <c r="D94" i="15"/>
  <c r="E94" i="15"/>
  <c r="D95" i="15"/>
  <c r="E95" i="15"/>
  <c r="D96" i="15"/>
  <c r="E96" i="15"/>
  <c r="D97" i="15"/>
  <c r="E97" i="15"/>
  <c r="D98" i="15"/>
  <c r="E98" i="15"/>
  <c r="D99" i="15"/>
  <c r="E99" i="15"/>
  <c r="D100" i="15"/>
  <c r="E100" i="15"/>
  <c r="D101" i="15"/>
  <c r="E101" i="15"/>
  <c r="D102" i="15"/>
  <c r="E102" i="15"/>
  <c r="D103" i="15"/>
  <c r="E103" i="15"/>
  <c r="D104" i="15"/>
  <c r="E104" i="15"/>
  <c r="D105" i="15"/>
  <c r="E105" i="15"/>
  <c r="D106" i="15"/>
  <c r="E106" i="15"/>
  <c r="D107" i="15"/>
  <c r="E107" i="15"/>
  <c r="D108" i="15"/>
  <c r="E108" i="15"/>
  <c r="D109" i="15"/>
  <c r="E109" i="15"/>
  <c r="D110" i="15"/>
  <c r="E110" i="15"/>
  <c r="D111" i="15"/>
  <c r="E111" i="15"/>
  <c r="D112" i="15"/>
  <c r="E112" i="15"/>
  <c r="D113" i="15"/>
  <c r="E113" i="15"/>
  <c r="D114" i="15"/>
  <c r="E114" i="15"/>
  <c r="D115" i="15"/>
  <c r="E115" i="15"/>
  <c r="D116" i="15"/>
  <c r="E116" i="15"/>
  <c r="D117" i="15"/>
  <c r="E117" i="15"/>
  <c r="D118" i="15"/>
  <c r="E118" i="15"/>
  <c r="D119" i="15"/>
  <c r="E119" i="15"/>
  <c r="D120" i="15"/>
  <c r="E120" i="15"/>
  <c r="D121" i="15"/>
  <c r="E121" i="15"/>
  <c r="D122" i="15"/>
  <c r="E122" i="15"/>
  <c r="D123" i="15"/>
  <c r="E123" i="15"/>
  <c r="D124" i="15"/>
  <c r="E124" i="15"/>
  <c r="D125" i="15"/>
  <c r="E125" i="15"/>
  <c r="D126" i="15"/>
  <c r="E126" i="15"/>
  <c r="D127" i="15"/>
  <c r="E127" i="15"/>
  <c r="D128" i="15"/>
  <c r="E128" i="15"/>
  <c r="D129" i="15"/>
  <c r="E129" i="15"/>
  <c r="D130" i="15"/>
  <c r="E130" i="15"/>
  <c r="D131" i="15"/>
  <c r="E131" i="15"/>
  <c r="D132" i="15"/>
  <c r="E132" i="15"/>
  <c r="D133" i="15"/>
  <c r="E133" i="15"/>
  <c r="D134" i="15"/>
  <c r="E134" i="15"/>
  <c r="D135" i="15"/>
  <c r="E135" i="15"/>
  <c r="D136" i="15"/>
  <c r="E136" i="15"/>
  <c r="D137" i="15"/>
  <c r="E137" i="15"/>
  <c r="D138" i="15"/>
  <c r="E138" i="15"/>
  <c r="D139" i="15"/>
  <c r="E139" i="15"/>
  <c r="D140" i="15"/>
  <c r="E140" i="15"/>
  <c r="D141" i="15"/>
  <c r="E141" i="15"/>
  <c r="D142" i="15"/>
  <c r="E142" i="15"/>
  <c r="D143" i="15"/>
  <c r="E143" i="15"/>
  <c r="D144" i="15"/>
  <c r="E144" i="15"/>
  <c r="D145" i="15"/>
  <c r="E145" i="15"/>
  <c r="D146" i="15"/>
  <c r="E146" i="15"/>
  <c r="D147" i="15"/>
  <c r="E147" i="15"/>
  <c r="D148" i="15"/>
  <c r="E148" i="15"/>
  <c r="D149" i="15"/>
  <c r="E149" i="15"/>
  <c r="D150" i="15"/>
  <c r="E150" i="15"/>
  <c r="D151" i="15"/>
  <c r="E151" i="15"/>
  <c r="D152" i="15"/>
  <c r="E152" i="15"/>
  <c r="D153" i="15"/>
  <c r="E153" i="15"/>
  <c r="D154" i="15"/>
  <c r="E154" i="15"/>
  <c r="D155" i="15"/>
  <c r="E155" i="15"/>
  <c r="D156" i="15"/>
  <c r="E156" i="15"/>
  <c r="D157" i="15"/>
  <c r="E157" i="15"/>
  <c r="D158" i="15"/>
  <c r="E158" i="15"/>
  <c r="D159" i="15"/>
  <c r="E159" i="15"/>
  <c r="D160" i="15"/>
  <c r="E160" i="15"/>
  <c r="D161" i="15"/>
  <c r="E161" i="15"/>
  <c r="D162" i="15"/>
  <c r="E162" i="15"/>
  <c r="D163" i="15"/>
  <c r="E163" i="15"/>
  <c r="D164" i="15"/>
  <c r="E164" i="15"/>
  <c r="D165" i="15"/>
  <c r="E165" i="15"/>
  <c r="D166" i="15"/>
  <c r="E166" i="15"/>
  <c r="D167" i="15"/>
  <c r="E167" i="15"/>
  <c r="D168" i="15"/>
  <c r="E168" i="15"/>
  <c r="D169" i="15"/>
  <c r="E169" i="15"/>
  <c r="D170" i="15"/>
  <c r="E170" i="15"/>
  <c r="D171" i="15"/>
  <c r="E171" i="15"/>
  <c r="D172" i="15"/>
  <c r="E172" i="15"/>
  <c r="D173" i="15"/>
  <c r="E173" i="15"/>
  <c r="D174" i="15"/>
  <c r="E174" i="15"/>
  <c r="D175" i="15"/>
  <c r="E175" i="15"/>
  <c r="D176" i="15"/>
  <c r="E176" i="15"/>
  <c r="D177" i="15"/>
  <c r="E177" i="15"/>
  <c r="D178" i="15"/>
  <c r="E178" i="15"/>
  <c r="D179" i="15"/>
  <c r="E179" i="15"/>
  <c r="D180" i="15"/>
  <c r="E180" i="15"/>
  <c r="D181" i="15"/>
  <c r="E181" i="15"/>
  <c r="D182" i="15"/>
  <c r="E182" i="15"/>
  <c r="D183" i="15"/>
  <c r="E183" i="15"/>
  <c r="D184" i="15"/>
  <c r="E184" i="15"/>
  <c r="D185" i="15"/>
  <c r="E185" i="15"/>
  <c r="D186" i="15"/>
  <c r="E186" i="15"/>
  <c r="D187" i="15"/>
  <c r="E187" i="15"/>
  <c r="D188" i="15"/>
  <c r="E188" i="15"/>
  <c r="D189" i="15"/>
  <c r="E189" i="15"/>
  <c r="D190" i="15"/>
  <c r="E190" i="15"/>
  <c r="D191" i="15"/>
  <c r="E191" i="15"/>
  <c r="D192" i="15"/>
  <c r="E192" i="15"/>
  <c r="D193" i="15"/>
  <c r="E193" i="15"/>
  <c r="D194" i="15"/>
  <c r="E194" i="15"/>
  <c r="D195" i="15"/>
  <c r="E195" i="15"/>
  <c r="D196" i="15"/>
  <c r="E196" i="15"/>
  <c r="D197" i="15"/>
  <c r="E197" i="15"/>
  <c r="D198" i="15"/>
  <c r="E198" i="15"/>
  <c r="D199" i="15"/>
  <c r="E199" i="15"/>
  <c r="D200" i="15"/>
  <c r="E200" i="15"/>
  <c r="D201" i="15"/>
  <c r="E201" i="15"/>
  <c r="D202" i="15"/>
  <c r="E202" i="15"/>
  <c r="D203" i="15"/>
  <c r="E203" i="15"/>
  <c r="D204" i="15"/>
  <c r="E204" i="15"/>
  <c r="D205" i="15"/>
  <c r="E205" i="15"/>
  <c r="D206" i="15"/>
  <c r="E206" i="15"/>
  <c r="D207" i="15"/>
  <c r="E207" i="15"/>
  <c r="D208" i="15"/>
  <c r="E208" i="15"/>
  <c r="D209" i="15"/>
  <c r="E209" i="15"/>
  <c r="D210" i="15"/>
  <c r="E210" i="15"/>
  <c r="D211" i="15"/>
  <c r="E211" i="15"/>
  <c r="D212" i="15"/>
  <c r="E212" i="15"/>
  <c r="D213" i="15"/>
  <c r="E213" i="15"/>
  <c r="D214" i="15"/>
  <c r="E214" i="15"/>
  <c r="D215" i="15"/>
  <c r="E215" i="15"/>
  <c r="D216" i="15"/>
  <c r="E216" i="15"/>
  <c r="D217" i="15"/>
  <c r="E217" i="15"/>
  <c r="D218" i="15"/>
  <c r="E218" i="15"/>
  <c r="D219" i="15"/>
  <c r="E219" i="15"/>
  <c r="D220" i="15"/>
  <c r="E220" i="15"/>
  <c r="D221" i="15"/>
  <c r="E221" i="15"/>
  <c r="D222" i="15"/>
  <c r="E222" i="15"/>
  <c r="D223" i="15"/>
  <c r="E223" i="15"/>
  <c r="D224" i="15"/>
  <c r="E224" i="15"/>
  <c r="D225" i="15"/>
  <c r="E225" i="15"/>
  <c r="D226" i="15"/>
  <c r="E226" i="15"/>
  <c r="D227" i="15"/>
  <c r="E227" i="15"/>
  <c r="D228" i="15"/>
  <c r="E228" i="15"/>
  <c r="D229" i="15"/>
  <c r="E229" i="15"/>
  <c r="D230" i="15"/>
  <c r="E230" i="15"/>
  <c r="D231" i="15"/>
  <c r="E231" i="15"/>
  <c r="D232" i="15"/>
  <c r="E232" i="15"/>
  <c r="D233" i="15"/>
  <c r="E233" i="15"/>
  <c r="D234" i="15"/>
  <c r="E234" i="15"/>
  <c r="D235" i="15"/>
  <c r="E235" i="15"/>
  <c r="D236" i="15"/>
  <c r="E236" i="15"/>
  <c r="D237" i="15"/>
  <c r="E237" i="15"/>
  <c r="D238" i="15"/>
  <c r="E238" i="15"/>
  <c r="D239" i="15"/>
  <c r="E239" i="15"/>
  <c r="D240" i="15"/>
  <c r="E240" i="15"/>
  <c r="D241" i="15"/>
  <c r="E241" i="15"/>
  <c r="D242" i="15"/>
  <c r="E242" i="15"/>
  <c r="D243" i="15"/>
  <c r="E243" i="15"/>
  <c r="D244" i="15"/>
  <c r="E244" i="15"/>
  <c r="D245" i="15"/>
  <c r="E245" i="15"/>
  <c r="D246" i="15"/>
  <c r="E246" i="15"/>
  <c r="D247" i="15"/>
  <c r="E247" i="15"/>
  <c r="D248" i="15"/>
  <c r="E248" i="15"/>
  <c r="D249" i="15"/>
  <c r="E249" i="15"/>
  <c r="D250" i="15"/>
  <c r="E250" i="15"/>
  <c r="D251" i="15"/>
  <c r="E251" i="15"/>
  <c r="D252" i="15"/>
  <c r="E252" i="15"/>
  <c r="D253" i="15"/>
  <c r="E253" i="15"/>
  <c r="D254" i="15"/>
  <c r="E254" i="15"/>
  <c r="D255" i="15"/>
  <c r="E255" i="15"/>
  <c r="D256" i="15"/>
  <c r="E256" i="15"/>
  <c r="D257" i="15"/>
  <c r="E257" i="15"/>
  <c r="D258" i="15"/>
  <c r="E258" i="15"/>
  <c r="D259" i="15"/>
  <c r="E259" i="15"/>
  <c r="D260" i="15"/>
  <c r="E260" i="15"/>
  <c r="D261" i="15"/>
  <c r="E261" i="15"/>
  <c r="D262" i="15"/>
  <c r="E262" i="15"/>
  <c r="D263" i="15"/>
  <c r="E263" i="15"/>
  <c r="D264" i="15"/>
  <c r="E264" i="15"/>
  <c r="D265" i="15"/>
  <c r="E265" i="15"/>
  <c r="D266" i="15"/>
  <c r="E266" i="15"/>
  <c r="D267" i="15"/>
  <c r="E267" i="15"/>
  <c r="D268" i="15"/>
  <c r="E268" i="15"/>
  <c r="D269" i="15"/>
  <c r="E269" i="15"/>
  <c r="D270" i="15"/>
  <c r="E270" i="15"/>
  <c r="D271" i="15"/>
  <c r="E271" i="15"/>
  <c r="D272" i="15"/>
  <c r="E272" i="15"/>
  <c r="D273" i="15"/>
  <c r="E273" i="15"/>
  <c r="D274" i="15"/>
  <c r="E274" i="15"/>
  <c r="D275" i="15"/>
  <c r="E275" i="15"/>
  <c r="D276" i="15"/>
  <c r="E276" i="15"/>
  <c r="D277" i="15"/>
  <c r="E277" i="15"/>
  <c r="D278" i="15"/>
  <c r="E278" i="15"/>
  <c r="D279" i="15"/>
  <c r="E279" i="15"/>
  <c r="D280" i="15"/>
  <c r="E280" i="15"/>
  <c r="D281" i="15"/>
  <c r="E281" i="15"/>
  <c r="D282" i="15"/>
  <c r="E282" i="15"/>
  <c r="D283" i="15"/>
  <c r="E283" i="15"/>
  <c r="D284" i="15"/>
  <c r="E284" i="15"/>
  <c r="D285" i="15"/>
  <c r="E285" i="15"/>
  <c r="D286" i="15"/>
  <c r="E286" i="15"/>
  <c r="D287" i="15"/>
  <c r="E287" i="15"/>
  <c r="D288" i="15"/>
  <c r="E288" i="15"/>
  <c r="D289" i="15"/>
  <c r="E289" i="15"/>
  <c r="D290" i="15"/>
  <c r="E290" i="15"/>
  <c r="D291" i="15"/>
  <c r="E291" i="15"/>
  <c r="D292" i="15"/>
  <c r="E292" i="15"/>
  <c r="D293" i="15"/>
  <c r="E293" i="15"/>
  <c r="D294" i="15"/>
  <c r="E294" i="15"/>
  <c r="D295" i="15"/>
  <c r="E295" i="15"/>
  <c r="D296" i="15"/>
  <c r="E296" i="15"/>
  <c r="D297" i="15"/>
  <c r="E297" i="15"/>
  <c r="D298" i="15"/>
  <c r="E298" i="15"/>
  <c r="D299" i="15"/>
  <c r="E299" i="15"/>
  <c r="D300" i="15"/>
  <c r="E300" i="15"/>
  <c r="I51" i="21"/>
  <c r="I52" i="21"/>
  <c r="I53" i="21"/>
  <c r="I54" i="21"/>
  <c r="I55" i="21"/>
  <c r="I56" i="21"/>
  <c r="E50" i="15"/>
  <c r="D50" i="15"/>
  <c r="E49" i="15"/>
  <c r="D49" i="15"/>
  <c r="E48" i="15"/>
  <c r="D48" i="15"/>
  <c r="E47" i="15"/>
  <c r="D47" i="15"/>
  <c r="E46" i="15"/>
  <c r="D46" i="15"/>
  <c r="E45" i="15"/>
  <c r="D45" i="15"/>
  <c r="E44" i="15"/>
  <c r="D44" i="15"/>
  <c r="E43" i="15"/>
  <c r="D43" i="15"/>
  <c r="E42" i="15"/>
  <c r="D42" i="15"/>
  <c r="E41" i="15"/>
  <c r="D41" i="15"/>
  <c r="E40" i="15"/>
  <c r="D40" i="15"/>
  <c r="E39" i="15"/>
  <c r="D39" i="15"/>
  <c r="C39" i="15" s="1"/>
  <c r="E38" i="15"/>
  <c r="D38" i="15"/>
  <c r="E37" i="15"/>
  <c r="D37" i="15"/>
  <c r="E36" i="15"/>
  <c r="D36" i="15"/>
  <c r="E35" i="15"/>
  <c r="D35" i="15"/>
  <c r="E34" i="15"/>
  <c r="D34" i="15"/>
  <c r="E33" i="15"/>
  <c r="D33" i="15"/>
  <c r="E32" i="15"/>
  <c r="D32" i="15"/>
  <c r="E31" i="15"/>
  <c r="D31" i="15"/>
  <c r="E30" i="15"/>
  <c r="D30" i="15"/>
  <c r="E29" i="15"/>
  <c r="D29" i="15"/>
  <c r="E28" i="15"/>
  <c r="D28" i="15"/>
  <c r="E27" i="15"/>
  <c r="D27" i="15"/>
  <c r="C27" i="15" s="1"/>
  <c r="E26" i="15"/>
  <c r="D26" i="15"/>
  <c r="E25" i="15"/>
  <c r="D25" i="15"/>
  <c r="E24" i="15"/>
  <c r="D24" i="15"/>
  <c r="E23" i="15"/>
  <c r="D23" i="15"/>
  <c r="E22" i="15"/>
  <c r="D22" i="15"/>
  <c r="E21" i="15"/>
  <c r="D21" i="15"/>
  <c r="E20" i="15"/>
  <c r="D20" i="15"/>
  <c r="E19" i="15"/>
  <c r="D19" i="15"/>
  <c r="E18" i="15"/>
  <c r="D18" i="15"/>
  <c r="E17" i="15"/>
  <c r="D17" i="15"/>
  <c r="E16" i="15"/>
  <c r="D16" i="15"/>
  <c r="E15" i="15"/>
  <c r="D15" i="15"/>
  <c r="E14" i="15"/>
  <c r="D14" i="15"/>
  <c r="E13" i="15"/>
  <c r="D13" i="15"/>
  <c r="E12" i="15"/>
  <c r="D12" i="15"/>
  <c r="E11" i="15"/>
  <c r="D11" i="15"/>
  <c r="E10" i="15"/>
  <c r="D10" i="15"/>
  <c r="E9" i="15"/>
  <c r="D9" i="15"/>
  <c r="E8" i="15"/>
  <c r="D8" i="15"/>
  <c r="E7" i="15"/>
  <c r="D7" i="15"/>
  <c r="E6" i="15"/>
  <c r="D6" i="15"/>
  <c r="E5" i="15"/>
  <c r="D5" i="15"/>
  <c r="E4" i="15"/>
  <c r="D4" i="15"/>
  <c r="E3" i="15"/>
  <c r="D3" i="15"/>
  <c r="B454" i="21"/>
  <c r="B453" i="21"/>
  <c r="B452" i="21"/>
  <c r="B451" i="21"/>
  <c r="B450" i="21"/>
  <c r="B449" i="21"/>
  <c r="B448" i="21"/>
  <c r="B447" i="21"/>
  <c r="B446" i="21"/>
  <c r="B445" i="21"/>
  <c r="B444" i="21"/>
  <c r="B443" i="21"/>
  <c r="B442" i="21"/>
  <c r="B441" i="21"/>
  <c r="K440" i="21"/>
  <c r="J440" i="21"/>
  <c r="I440" i="21"/>
  <c r="B440" i="21"/>
  <c r="K439" i="21"/>
  <c r="J439" i="21"/>
  <c r="I439" i="21"/>
  <c r="B439" i="21"/>
  <c r="K438" i="21"/>
  <c r="J438" i="21"/>
  <c r="I438" i="21"/>
  <c r="B438" i="21"/>
  <c r="K437" i="21"/>
  <c r="J437" i="21"/>
  <c r="I437" i="21"/>
  <c r="B437" i="21"/>
  <c r="K436" i="21"/>
  <c r="J436" i="21"/>
  <c r="I436" i="21"/>
  <c r="B436" i="21"/>
  <c r="K435" i="21"/>
  <c r="J435" i="21"/>
  <c r="I435" i="21"/>
  <c r="B435" i="21"/>
  <c r="K434" i="21"/>
  <c r="J434" i="21"/>
  <c r="I434" i="21"/>
  <c r="B434" i="21"/>
  <c r="B182" i="21"/>
  <c r="B181" i="21"/>
  <c r="B180" i="21"/>
  <c r="B179" i="21"/>
  <c r="B178" i="21"/>
  <c r="B177" i="21"/>
  <c r="K131" i="21"/>
  <c r="J131" i="21"/>
  <c r="I131" i="21"/>
  <c r="K130" i="21"/>
  <c r="J130" i="21"/>
  <c r="I130" i="21"/>
  <c r="K129" i="21"/>
  <c r="J129" i="21"/>
  <c r="I129" i="21"/>
  <c r="K128" i="21"/>
  <c r="J128" i="21"/>
  <c r="I128" i="21"/>
  <c r="K127" i="21"/>
  <c r="J127" i="21"/>
  <c r="I127" i="21"/>
  <c r="K126" i="21"/>
  <c r="J126" i="21"/>
  <c r="I126" i="21"/>
  <c r="K125" i="21"/>
  <c r="J125" i="21"/>
  <c r="I125" i="21"/>
  <c r="B249" i="21"/>
  <c r="B248" i="21"/>
  <c r="B247" i="21"/>
  <c r="B246" i="21"/>
  <c r="B245" i="21"/>
  <c r="B244" i="21"/>
  <c r="B243" i="21"/>
  <c r="B242" i="21"/>
  <c r="B241" i="21"/>
  <c r="B240" i="21"/>
  <c r="B239" i="21"/>
  <c r="B238" i="21"/>
  <c r="B237" i="21"/>
  <c r="B236" i="21"/>
  <c r="B235" i="21"/>
  <c r="B234" i="21"/>
  <c r="B233" i="21"/>
  <c r="B232" i="21"/>
  <c r="B231" i="21"/>
  <c r="B230" i="21"/>
  <c r="B229" i="21"/>
  <c r="B228" i="21"/>
  <c r="B227" i="21"/>
  <c r="B226" i="21"/>
  <c r="B225" i="21"/>
  <c r="B224" i="21"/>
  <c r="B223" i="21"/>
  <c r="B222" i="21"/>
  <c r="B221" i="21"/>
  <c r="B220" i="21"/>
  <c r="B219" i="21"/>
  <c r="B218" i="21"/>
  <c r="B217" i="21"/>
  <c r="B216" i="21"/>
  <c r="B215" i="21"/>
  <c r="B214" i="21"/>
  <c r="B213" i="21"/>
  <c r="B212" i="21"/>
  <c r="B211" i="21"/>
  <c r="B210" i="21"/>
  <c r="B209" i="21"/>
  <c r="B208" i="21"/>
  <c r="B207" i="21"/>
  <c r="B206" i="21"/>
  <c r="B205" i="21"/>
  <c r="B204" i="21"/>
  <c r="B203" i="21"/>
  <c r="B202" i="21"/>
  <c r="B201" i="21"/>
  <c r="B200" i="21"/>
  <c r="B199" i="21"/>
  <c r="B198" i="21"/>
  <c r="B197" i="21"/>
  <c r="B196" i="21"/>
  <c r="B195" i="21"/>
  <c r="B194" i="21"/>
  <c r="B193" i="21"/>
  <c r="B192" i="21"/>
  <c r="B191" i="21"/>
  <c r="B190" i="21"/>
  <c r="B189" i="21"/>
  <c r="B188" i="21"/>
  <c r="B187" i="21"/>
  <c r="B83" i="21"/>
  <c r="B82" i="21"/>
  <c r="B81" i="21"/>
  <c r="B80" i="21"/>
  <c r="B79" i="21"/>
  <c r="B78" i="21"/>
  <c r="B77" i="21"/>
  <c r="B76" i="21"/>
  <c r="B75" i="21"/>
  <c r="B74" i="21"/>
  <c r="B73" i="21"/>
  <c r="B72" i="21"/>
  <c r="B71" i="21"/>
  <c r="B70" i="21"/>
  <c r="Q69" i="21"/>
  <c r="P69" i="21"/>
  <c r="O69" i="21"/>
  <c r="N69" i="21"/>
  <c r="M69" i="21"/>
  <c r="L69" i="21"/>
  <c r="K69" i="21"/>
  <c r="J69" i="21"/>
  <c r="I69" i="21"/>
  <c r="B69" i="21"/>
  <c r="Q68" i="21"/>
  <c r="P68" i="21"/>
  <c r="O68" i="21"/>
  <c r="N68" i="21"/>
  <c r="M68" i="21"/>
  <c r="L68" i="21"/>
  <c r="K68" i="21"/>
  <c r="J68" i="21"/>
  <c r="I68" i="21"/>
  <c r="B68" i="21"/>
  <c r="Q67" i="21"/>
  <c r="P67" i="21"/>
  <c r="O67" i="21"/>
  <c r="N67" i="21"/>
  <c r="M67" i="21"/>
  <c r="L67" i="21"/>
  <c r="K67" i="21"/>
  <c r="J67" i="21"/>
  <c r="I67" i="21"/>
  <c r="B67" i="21"/>
  <c r="Q66" i="21"/>
  <c r="P66" i="21"/>
  <c r="O66" i="21"/>
  <c r="N66" i="21"/>
  <c r="M66" i="21"/>
  <c r="L66" i="21"/>
  <c r="K66" i="21"/>
  <c r="J66" i="21"/>
  <c r="I66" i="21"/>
  <c r="B66" i="21"/>
  <c r="Q65" i="21"/>
  <c r="P65" i="21"/>
  <c r="O65" i="21"/>
  <c r="N65" i="21"/>
  <c r="M65" i="21"/>
  <c r="L65" i="21"/>
  <c r="K65" i="21"/>
  <c r="J65" i="21"/>
  <c r="I65" i="21"/>
  <c r="B65" i="21"/>
  <c r="Q64" i="21"/>
  <c r="P64" i="21"/>
  <c r="O64" i="21"/>
  <c r="N64" i="21"/>
  <c r="M64" i="21"/>
  <c r="L64" i="21"/>
  <c r="K64" i="21"/>
  <c r="J64" i="21"/>
  <c r="I64" i="21"/>
  <c r="B64" i="21"/>
  <c r="Q63" i="21"/>
  <c r="P63" i="21"/>
  <c r="O63" i="21"/>
  <c r="N63" i="21"/>
  <c r="M63" i="21"/>
  <c r="L63" i="21"/>
  <c r="K63" i="21"/>
  <c r="J63" i="21"/>
  <c r="I63"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Q24" i="21"/>
  <c r="P24" i="21"/>
  <c r="O24" i="21"/>
  <c r="N24" i="21"/>
  <c r="M24" i="21"/>
  <c r="L24" i="21"/>
  <c r="K24" i="21"/>
  <c r="J24" i="21"/>
  <c r="I24" i="21"/>
  <c r="B24" i="21"/>
  <c r="Q23" i="21"/>
  <c r="P23" i="21"/>
  <c r="O23" i="21"/>
  <c r="N23" i="21"/>
  <c r="M23" i="21"/>
  <c r="L23" i="21"/>
  <c r="K23" i="21"/>
  <c r="J23" i="21"/>
  <c r="I23" i="21"/>
  <c r="B23" i="21"/>
  <c r="Q22" i="21"/>
  <c r="P22" i="21"/>
  <c r="O22" i="21"/>
  <c r="N22" i="21"/>
  <c r="M22" i="21"/>
  <c r="L22" i="21"/>
  <c r="K22" i="21"/>
  <c r="J22" i="21"/>
  <c r="I22" i="21"/>
  <c r="B22" i="21"/>
  <c r="Q21" i="21"/>
  <c r="P21" i="21"/>
  <c r="O21" i="21"/>
  <c r="N21" i="21"/>
  <c r="M21" i="21"/>
  <c r="L21" i="21"/>
  <c r="K21" i="21"/>
  <c r="J21" i="21"/>
  <c r="I21" i="21"/>
  <c r="B21" i="21"/>
  <c r="Q20" i="21"/>
  <c r="P20" i="21"/>
  <c r="O20" i="21"/>
  <c r="N20" i="21"/>
  <c r="M20" i="21"/>
  <c r="L20" i="21"/>
  <c r="K20" i="21"/>
  <c r="J20" i="21"/>
  <c r="I20" i="21"/>
  <c r="Q19" i="21"/>
  <c r="P19" i="21"/>
  <c r="O19" i="21"/>
  <c r="N19" i="21"/>
  <c r="M19" i="21"/>
  <c r="L19" i="21"/>
  <c r="K19" i="21"/>
  <c r="J19" i="21"/>
  <c r="I19" i="21"/>
  <c r="Q18" i="21"/>
  <c r="P18" i="21"/>
  <c r="O18" i="21"/>
  <c r="N18" i="21"/>
  <c r="M18" i="21"/>
  <c r="L18" i="21"/>
  <c r="K18" i="21"/>
  <c r="J18" i="21"/>
  <c r="I18" i="21"/>
  <c r="B13" i="21"/>
  <c r="L12" i="21"/>
  <c r="B12" i="21"/>
  <c r="L11" i="21"/>
  <c r="B11" i="21"/>
  <c r="L10" i="21"/>
  <c r="B10" i="21"/>
  <c r="L9" i="21"/>
  <c r="B9" i="21"/>
  <c r="L8" i="21"/>
  <c r="L6" i="21"/>
  <c r="B6" i="21"/>
  <c r="L5" i="21"/>
  <c r="D5" i="21"/>
  <c r="B5" i="21"/>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A3" i="1"/>
  <c r="A4" i="1"/>
  <c r="A4" i="8" s="1"/>
  <c r="A5" i="1"/>
  <c r="A5" i="8" s="1"/>
  <c r="A6" i="1"/>
  <c r="A6" i="8" s="1"/>
  <c r="A7" i="1"/>
  <c r="A7" i="8" s="1"/>
  <c r="A8" i="1"/>
  <c r="A8" i="8" s="1"/>
  <c r="A9" i="1"/>
  <c r="A9" i="8" s="1"/>
  <c r="A10" i="1"/>
  <c r="A10" i="8" s="1"/>
  <c r="A11" i="1"/>
  <c r="A11" i="8" s="1"/>
  <c r="A12" i="1"/>
  <c r="A12" i="8" s="1"/>
  <c r="A13" i="1"/>
  <c r="A13" i="8" s="1"/>
  <c r="A14" i="1"/>
  <c r="A14" i="8" s="1"/>
  <c r="A15" i="1"/>
  <c r="A15" i="8" s="1"/>
  <c r="A16" i="1"/>
  <c r="A16" i="8" s="1"/>
  <c r="A17" i="1"/>
  <c r="A17" i="8" s="1"/>
  <c r="A18" i="1"/>
  <c r="A18" i="8" s="1"/>
  <c r="A19" i="1"/>
  <c r="A19" i="8" s="1"/>
  <c r="A20" i="1"/>
  <c r="A20" i="8" s="1"/>
  <c r="A21" i="1"/>
  <c r="A21" i="8" s="1"/>
  <c r="A22" i="1"/>
  <c r="A22" i="8" s="1"/>
  <c r="A23" i="1"/>
  <c r="A23" i="8" s="1"/>
  <c r="A24" i="1"/>
  <c r="A24" i="8" s="1"/>
  <c r="A25" i="1"/>
  <c r="A25" i="8" s="1"/>
  <c r="A26" i="1"/>
  <c r="A26" i="8" s="1"/>
  <c r="A27" i="1"/>
  <c r="A27" i="8" s="1"/>
  <c r="A28" i="1"/>
  <c r="A28" i="8" s="1"/>
  <c r="A29" i="1"/>
  <c r="A29" i="8" s="1"/>
  <c r="A30" i="1"/>
  <c r="A30" i="8" s="1"/>
  <c r="A31" i="1"/>
  <c r="A31" i="8" s="1"/>
  <c r="A32" i="1"/>
  <c r="A32" i="8" s="1"/>
  <c r="A33" i="1"/>
  <c r="A33" i="8" s="1"/>
  <c r="A34" i="1"/>
  <c r="A34" i="8" s="1"/>
  <c r="A35" i="1"/>
  <c r="A35" i="8" s="1"/>
  <c r="A36" i="1"/>
  <c r="A36" i="8" s="1"/>
  <c r="A37" i="1"/>
  <c r="A37" i="8" s="1"/>
  <c r="A38" i="1"/>
  <c r="A38" i="8" s="1"/>
  <c r="A39" i="1"/>
  <c r="A39" i="8" s="1"/>
  <c r="A40" i="1"/>
  <c r="A40" i="8" s="1"/>
  <c r="A41" i="1"/>
  <c r="A41" i="8" s="1"/>
  <c r="A42" i="1"/>
  <c r="A42" i="8" s="1"/>
  <c r="A43" i="1"/>
  <c r="A43" i="8" s="1"/>
  <c r="A44" i="1"/>
  <c r="A44" i="8" s="1"/>
  <c r="A45" i="1"/>
  <c r="A45" i="8" s="1"/>
  <c r="A46" i="1"/>
  <c r="A46" i="8" s="1"/>
  <c r="A47" i="1"/>
  <c r="A47" i="8" s="1"/>
  <c r="A48" i="1"/>
  <c r="A48" i="8" s="1"/>
  <c r="A49" i="1"/>
  <c r="A49" i="8" s="1"/>
  <c r="A50" i="1"/>
  <c r="A50" i="8" s="1"/>
  <c r="A51" i="1"/>
  <c r="A51" i="8" s="1"/>
  <c r="A52" i="1"/>
  <c r="A52" i="8" s="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2" i="19" s="1"/>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202" i="16"/>
  <c r="B203" i="16"/>
  <c r="B204" i="16"/>
  <c r="B205" i="16"/>
  <c r="B206" i="16"/>
  <c r="B207" i="16"/>
  <c r="B208" i="16"/>
  <c r="B209" i="16"/>
  <c r="B210" i="16"/>
  <c r="B211" i="16"/>
  <c r="B212" i="16"/>
  <c r="B213" i="16"/>
  <c r="B214" i="16"/>
  <c r="B215" i="16"/>
  <c r="B216" i="16"/>
  <c r="B217" i="16"/>
  <c r="B218" i="16"/>
  <c r="B219" i="16"/>
  <c r="B220" i="16"/>
  <c r="B221" i="16"/>
  <c r="B222" i="16"/>
  <c r="B223" i="16"/>
  <c r="B224" i="16"/>
  <c r="B225" i="16"/>
  <c r="B226" i="16"/>
  <c r="B227" i="16"/>
  <c r="B228" i="16"/>
  <c r="B229" i="16"/>
  <c r="B230" i="16"/>
  <c r="B231" i="16"/>
  <c r="B232" i="16"/>
  <c r="B233" i="16"/>
  <c r="B234" i="16"/>
  <c r="B235" i="16"/>
  <c r="B236" i="16"/>
  <c r="B237" i="16"/>
  <c r="B238" i="16"/>
  <c r="B239" i="16"/>
  <c r="B240" i="16"/>
  <c r="B241" i="16"/>
  <c r="B242" i="16"/>
  <c r="B243" i="16"/>
  <c r="B244" i="16"/>
  <c r="B245" i="16"/>
  <c r="B246" i="16"/>
  <c r="B247" i="16"/>
  <c r="B248" i="16"/>
  <c r="B249" i="16"/>
  <c r="B250" i="16"/>
  <c r="B251" i="16"/>
  <c r="B252" i="16"/>
  <c r="B253" i="16"/>
  <c r="B254" i="16"/>
  <c r="B255" i="16"/>
  <c r="B256" i="16"/>
  <c r="B257" i="16"/>
  <c r="B258" i="16"/>
  <c r="B259" i="16"/>
  <c r="B260" i="16"/>
  <c r="B261" i="16"/>
  <c r="B262" i="16"/>
  <c r="B263" i="16"/>
  <c r="B264" i="16"/>
  <c r="B265" i="16"/>
  <c r="B266" i="16"/>
  <c r="B267" i="16"/>
  <c r="B268" i="16"/>
  <c r="B269" i="16"/>
  <c r="B270" i="16"/>
  <c r="B271" i="16"/>
  <c r="B272" i="16"/>
  <c r="B273" i="16"/>
  <c r="B274" i="16"/>
  <c r="B275" i="16"/>
  <c r="B276" i="16"/>
  <c r="B277" i="16"/>
  <c r="B278" i="16"/>
  <c r="B279" i="16"/>
  <c r="B280" i="16"/>
  <c r="B281" i="16"/>
  <c r="B282" i="16"/>
  <c r="B283" i="16"/>
  <c r="B284" i="16"/>
  <c r="B285" i="16"/>
  <c r="B286" i="16"/>
  <c r="B287" i="16"/>
  <c r="B288" i="16"/>
  <c r="B289" i="16"/>
  <c r="B290" i="16"/>
  <c r="B291" i="16"/>
  <c r="B292" i="16"/>
  <c r="B293" i="16"/>
  <c r="B294" i="16"/>
  <c r="B295" i="16"/>
  <c r="B296" i="16"/>
  <c r="B297" i="16"/>
  <c r="B298" i="16"/>
  <c r="B299" i="16"/>
  <c r="B300" i="16"/>
  <c r="B301" i="16"/>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J30" i="21" l="1"/>
  <c r="C3" i="15"/>
  <c r="C94" i="15"/>
  <c r="C299" i="15"/>
  <c r="C287" i="15"/>
  <c r="C281" i="15"/>
  <c r="C275" i="15"/>
  <c r="C263" i="15"/>
  <c r="C251" i="15"/>
  <c r="C239" i="15"/>
  <c r="C233" i="15"/>
  <c r="C227" i="15"/>
  <c r="C167" i="15"/>
  <c r="C137" i="15"/>
  <c r="C131" i="15"/>
  <c r="C83" i="15"/>
  <c r="C59" i="15"/>
  <c r="C216" i="15"/>
  <c r="C210" i="15"/>
  <c r="C204" i="15"/>
  <c r="C198" i="15"/>
  <c r="C192" i="15"/>
  <c r="C174" i="15"/>
  <c r="C138" i="15"/>
  <c r="C132" i="15"/>
  <c r="C126" i="15"/>
  <c r="C108" i="15"/>
  <c r="C102" i="15"/>
  <c r="C96" i="15"/>
  <c r="C78" i="15"/>
  <c r="C60" i="15"/>
  <c r="C54" i="15"/>
  <c r="C279" i="15"/>
  <c r="C249" i="15"/>
  <c r="C195" i="15"/>
  <c r="C153" i="15"/>
  <c r="C123" i="15"/>
  <c r="C111" i="15"/>
  <c r="C290" i="15"/>
  <c r="C278" i="15"/>
  <c r="C266" i="15"/>
  <c r="C254" i="15"/>
  <c r="C236" i="15"/>
  <c r="C206" i="15"/>
  <c r="C182" i="15"/>
  <c r="C146" i="15"/>
  <c r="C128" i="15"/>
  <c r="C74" i="15"/>
  <c r="C217" i="15"/>
  <c r="C211" i="15"/>
  <c r="C187" i="15"/>
  <c r="C175" i="15"/>
  <c r="C169" i="15"/>
  <c r="C163" i="15"/>
  <c r="C103" i="15"/>
  <c r="C67" i="15"/>
  <c r="C231" i="15"/>
  <c r="C105" i="15"/>
  <c r="C230" i="15"/>
  <c r="C267" i="15"/>
  <c r="C296" i="15"/>
  <c r="C260" i="15"/>
  <c r="C224" i="15"/>
  <c r="C152" i="15"/>
  <c r="C243" i="15"/>
  <c r="C201" i="15"/>
  <c r="C99" i="15"/>
  <c r="C272" i="15"/>
  <c r="C242" i="15"/>
  <c r="C188" i="15"/>
  <c r="C134" i="15"/>
  <c r="C62" i="15"/>
  <c r="C7" i="15"/>
  <c r="C13" i="15"/>
  <c r="C19" i="15"/>
  <c r="C291" i="15"/>
  <c r="C255" i="15"/>
  <c r="C147" i="15"/>
  <c r="C284" i="15"/>
  <c r="C248" i="15"/>
  <c r="C176" i="15"/>
  <c r="C140" i="15"/>
  <c r="C110" i="15"/>
  <c r="C68" i="15"/>
  <c r="C20" i="15"/>
  <c r="C38" i="15"/>
  <c r="C202" i="15"/>
  <c r="C196" i="15"/>
  <c r="C190" i="15"/>
  <c r="C172" i="15"/>
  <c r="C166" i="15"/>
  <c r="C160" i="15"/>
  <c r="C142" i="15"/>
  <c r="C124" i="15"/>
  <c r="C118" i="15"/>
  <c r="C112" i="15"/>
  <c r="C88" i="15"/>
  <c r="C82" i="15"/>
  <c r="C76" i="15"/>
  <c r="C70" i="15"/>
  <c r="C58" i="15"/>
  <c r="C52" i="15"/>
  <c r="C40" i="15"/>
  <c r="C46" i="15"/>
  <c r="C158" i="15"/>
  <c r="C222" i="15"/>
  <c r="C12" i="15"/>
  <c r="C36" i="15"/>
  <c r="C42" i="15"/>
  <c r="C219" i="15"/>
  <c r="C207" i="15"/>
  <c r="C184" i="15"/>
  <c r="C178" i="15"/>
  <c r="C155" i="15"/>
  <c r="C143" i="15"/>
  <c r="C120" i="15"/>
  <c r="C114" i="15"/>
  <c r="C91" i="15"/>
  <c r="C79" i="15"/>
  <c r="C56" i="15"/>
  <c r="C218" i="15"/>
  <c r="C212" i="15"/>
  <c r="C183" i="15"/>
  <c r="C154" i="15"/>
  <c r="C148" i="15"/>
  <c r="C119" i="15"/>
  <c r="C90" i="15"/>
  <c r="C84" i="15"/>
  <c r="C55" i="15"/>
  <c r="C295" i="15"/>
  <c r="C289" i="15"/>
  <c r="C283" i="15"/>
  <c r="C271" i="15"/>
  <c r="C265" i="15"/>
  <c r="C259" i="15"/>
  <c r="C247" i="15"/>
  <c r="C235" i="15"/>
  <c r="C223" i="15"/>
  <c r="C200" i="15"/>
  <c r="C194" i="15"/>
  <c r="C171" i="15"/>
  <c r="C159" i="15"/>
  <c r="C136" i="15"/>
  <c r="C130" i="15"/>
  <c r="C107" i="15"/>
  <c r="C95" i="15"/>
  <c r="C72" i="15"/>
  <c r="C66" i="15"/>
  <c r="C300" i="15"/>
  <c r="C294" i="15"/>
  <c r="C288" i="15"/>
  <c r="C282" i="15"/>
  <c r="C276" i="15"/>
  <c r="C270" i="15"/>
  <c r="C264" i="15"/>
  <c r="C258" i="15"/>
  <c r="C252" i="15"/>
  <c r="C246" i="15"/>
  <c r="C240" i="15"/>
  <c r="C234" i="15"/>
  <c r="C228" i="15"/>
  <c r="C199" i="15"/>
  <c r="C170" i="15"/>
  <c r="C164" i="15"/>
  <c r="C135" i="15"/>
  <c r="C106" i="15"/>
  <c r="C100" i="15"/>
  <c r="C71" i="15"/>
  <c r="C64" i="15"/>
  <c r="C215" i="15"/>
  <c r="C186" i="15"/>
  <c r="C180" i="15"/>
  <c r="C151" i="15"/>
  <c r="C122" i="15"/>
  <c r="C116" i="15"/>
  <c r="C87" i="15"/>
  <c r="C298" i="15"/>
  <c r="C280" i="15"/>
  <c r="C268" i="15"/>
  <c r="C262" i="15"/>
  <c r="C256" i="15"/>
  <c r="C250" i="15"/>
  <c r="C244" i="15"/>
  <c r="C238" i="15"/>
  <c r="C232" i="15"/>
  <c r="C226" i="15"/>
  <c r="C203" i="15"/>
  <c r="C191" i="15"/>
  <c r="C168" i="15"/>
  <c r="C162" i="15"/>
  <c r="C139" i="15"/>
  <c r="C127" i="15"/>
  <c r="C104" i="15"/>
  <c r="C98" i="15"/>
  <c r="C75" i="15"/>
  <c r="C63" i="15"/>
  <c r="C292" i="15"/>
  <c r="C286" i="15"/>
  <c r="C274" i="15"/>
  <c r="C220" i="15"/>
  <c r="C214" i="15"/>
  <c r="C208" i="15"/>
  <c r="C185" i="15"/>
  <c r="C179" i="15"/>
  <c r="C156" i="15"/>
  <c r="C150" i="15"/>
  <c r="C144" i="15"/>
  <c r="C121" i="15"/>
  <c r="C115" i="15"/>
  <c r="C92" i="15"/>
  <c r="C86" i="15"/>
  <c r="C80" i="15"/>
  <c r="C51" i="15"/>
  <c r="C16" i="15"/>
  <c r="C11" i="15"/>
  <c r="C23" i="15"/>
  <c r="C47" i="15"/>
  <c r="C49" i="15"/>
  <c r="C285" i="15"/>
  <c r="C269" i="15"/>
  <c r="C253" i="15"/>
  <c r="C237" i="15"/>
  <c r="C221" i="15"/>
  <c r="C205" i="15"/>
  <c r="C189" i="15"/>
  <c r="C173" i="15"/>
  <c r="C157" i="15"/>
  <c r="C141" i="15"/>
  <c r="C125" i="15"/>
  <c r="C109" i="15"/>
  <c r="C93" i="15"/>
  <c r="C77" i="15"/>
  <c r="C61" i="15"/>
  <c r="C273" i="15"/>
  <c r="C257" i="15"/>
  <c r="C241" i="15"/>
  <c r="C225" i="15"/>
  <c r="C209" i="15"/>
  <c r="C177" i="15"/>
  <c r="C161" i="15"/>
  <c r="C145" i="15"/>
  <c r="C113" i="15"/>
  <c r="C97" i="15"/>
  <c r="C81" i="15"/>
  <c r="C65" i="15"/>
  <c r="C293" i="15"/>
  <c r="C277" i="15"/>
  <c r="C245" i="15"/>
  <c r="C229" i="15"/>
  <c r="C213" i="15"/>
  <c r="C197" i="15"/>
  <c r="C165" i="15"/>
  <c r="C149" i="15"/>
  <c r="C133" i="15"/>
  <c r="C117" i="15"/>
  <c r="C101" i="15"/>
  <c r="C85" i="15"/>
  <c r="C69" i="15"/>
  <c r="C53" i="15"/>
  <c r="C297" i="15"/>
  <c r="C193" i="15"/>
  <c r="C129" i="15"/>
  <c r="C181" i="15"/>
  <c r="C89" i="15"/>
  <c r="C73" i="15"/>
  <c r="C57" i="15"/>
  <c r="C261" i="15"/>
  <c r="B89" i="21"/>
  <c r="C18" i="15"/>
  <c r="C35" i="15"/>
  <c r="J29" i="21"/>
  <c r="J31" i="21"/>
  <c r="C8" i="15"/>
  <c r="C14" i="15"/>
  <c r="C31" i="15"/>
  <c r="C26" i="15"/>
  <c r="C43" i="15"/>
  <c r="C4" i="15"/>
  <c r="C32" i="15"/>
  <c r="K76" i="21"/>
  <c r="C10" i="15"/>
  <c r="C21" i="15"/>
  <c r="C44" i="15"/>
  <c r="C5" i="15"/>
  <c r="C50" i="15"/>
  <c r="C6" i="15"/>
  <c r="C22" i="15"/>
  <c r="C34" i="15"/>
  <c r="K31" i="21"/>
  <c r="C30" i="15"/>
  <c r="C15" i="15"/>
  <c r="C48" i="15"/>
  <c r="C37" i="15"/>
  <c r="C28" i="15"/>
  <c r="C24" i="15"/>
  <c r="C45" i="15"/>
  <c r="C9" i="15"/>
  <c r="C33" i="15"/>
  <c r="K30" i="21"/>
  <c r="C41" i="15"/>
  <c r="C29" i="15"/>
  <c r="C25" i="15"/>
  <c r="C17" i="15"/>
  <c r="J76" i="21"/>
  <c r="I76" i="21"/>
  <c r="B88" i="21"/>
  <c r="B90" i="21"/>
  <c r="A301" i="19"/>
  <c r="A301" i="8"/>
  <c r="A300" i="19"/>
  <c r="A300" i="8"/>
  <c r="A299" i="19"/>
  <c r="A299" i="8"/>
  <c r="A298" i="19"/>
  <c r="A298" i="8"/>
  <c r="A297" i="19"/>
  <c r="A297" i="8"/>
  <c r="A296" i="19"/>
  <c r="A296" i="8"/>
  <c r="A295" i="19"/>
  <c r="A295" i="8"/>
  <c r="A294" i="19"/>
  <c r="A294" i="8"/>
  <c r="A293" i="19"/>
  <c r="A293" i="8"/>
  <c r="A292" i="19"/>
  <c r="A292" i="8"/>
  <c r="A291" i="19"/>
  <c r="A291" i="8"/>
  <c r="A290" i="19"/>
  <c r="A290" i="8"/>
  <c r="A289" i="19"/>
  <c r="A289" i="8"/>
  <c r="A288" i="19"/>
  <c r="A288" i="8"/>
  <c r="A287" i="19"/>
  <c r="A287" i="8"/>
  <c r="A286" i="19"/>
  <c r="A286" i="8"/>
  <c r="A285" i="19"/>
  <c r="A285" i="8"/>
  <c r="A284" i="19"/>
  <c r="A284" i="8"/>
  <c r="A283" i="19"/>
  <c r="A283" i="8"/>
  <c r="A282" i="19"/>
  <c r="A282" i="8"/>
  <c r="A281" i="19"/>
  <c r="A281" i="8"/>
  <c r="A280" i="19"/>
  <c r="A280" i="8"/>
  <c r="A279" i="19"/>
  <c r="A279" i="8"/>
  <c r="A278" i="19"/>
  <c r="A278" i="8"/>
  <c r="A277" i="19"/>
  <c r="A277" i="8"/>
  <c r="A276" i="19"/>
  <c r="A276" i="8"/>
  <c r="A275" i="19"/>
  <c r="A275" i="8"/>
  <c r="A274" i="19"/>
  <c r="A274" i="8"/>
  <c r="A273" i="19"/>
  <c r="A273" i="8"/>
  <c r="A272" i="19"/>
  <c r="A272" i="8"/>
  <c r="A271" i="19"/>
  <c r="A271" i="8"/>
  <c r="A270" i="19"/>
  <c r="A270" i="8"/>
  <c r="A269" i="19"/>
  <c r="A269" i="8"/>
  <c r="A268" i="19"/>
  <c r="A268" i="8"/>
  <c r="A267" i="19"/>
  <c r="A267" i="8"/>
  <c r="A266" i="19"/>
  <c r="A266" i="8"/>
  <c r="A265" i="19"/>
  <c r="A265" i="8"/>
  <c r="A264" i="19"/>
  <c r="A264" i="8"/>
  <c r="A263" i="19"/>
  <c r="A263" i="8"/>
  <c r="A262" i="19"/>
  <c r="A262" i="8"/>
  <c r="A261" i="19"/>
  <c r="A261" i="8"/>
  <c r="A260" i="19"/>
  <c r="A260" i="8"/>
  <c r="A259" i="19"/>
  <c r="A259" i="8"/>
  <c r="A258" i="19"/>
  <c r="A258" i="8"/>
  <c r="A257" i="19"/>
  <c r="A257" i="8"/>
  <c r="A256" i="19"/>
  <c r="A256" i="8"/>
  <c r="A255" i="19"/>
  <c r="A255" i="8"/>
  <c r="A254" i="19"/>
  <c r="A254" i="8"/>
  <c r="A253" i="19"/>
  <c r="A253" i="8"/>
  <c r="A252" i="19"/>
  <c r="A252" i="8"/>
  <c r="A251" i="19"/>
  <c r="A251" i="8"/>
  <c r="A250" i="19"/>
  <c r="A250" i="8"/>
  <c r="A249" i="19"/>
  <c r="A249" i="8"/>
  <c r="A248" i="19"/>
  <c r="A248" i="8"/>
  <c r="A247" i="19"/>
  <c r="A247" i="8"/>
  <c r="A246" i="19"/>
  <c r="A246" i="8"/>
  <c r="A245" i="19"/>
  <c r="A245" i="8"/>
  <c r="A244" i="19"/>
  <c r="A244" i="8"/>
  <c r="A243" i="19"/>
  <c r="A243" i="8"/>
  <c r="A242" i="19"/>
  <c r="A242" i="8"/>
  <c r="A241" i="19"/>
  <c r="A241" i="8"/>
  <c r="A240" i="19"/>
  <c r="A240" i="8"/>
  <c r="A239" i="19"/>
  <c r="A239" i="8"/>
  <c r="A238" i="19"/>
  <c r="A238" i="8"/>
  <c r="A237" i="19"/>
  <c r="A237" i="8"/>
  <c r="A236" i="19"/>
  <c r="A236" i="8"/>
  <c r="A235" i="19"/>
  <c r="A235" i="8"/>
  <c r="A234" i="19"/>
  <c r="A234" i="8"/>
  <c r="A233" i="19"/>
  <c r="A233" i="8"/>
  <c r="A232" i="19"/>
  <c r="A232" i="8"/>
  <c r="A231" i="19"/>
  <c r="A231" i="8"/>
  <c r="A230" i="19"/>
  <c r="A230" i="8"/>
  <c r="A229" i="19"/>
  <c r="A229" i="8"/>
  <c r="A228" i="19"/>
  <c r="A228" i="8"/>
  <c r="A227" i="19"/>
  <c r="A227" i="8"/>
  <c r="A226" i="19"/>
  <c r="A226" i="8"/>
  <c r="A225" i="19"/>
  <c r="A225" i="8"/>
  <c r="A224" i="19"/>
  <c r="A224" i="8"/>
  <c r="A223" i="19"/>
  <c r="A223" i="8"/>
  <c r="A222" i="19"/>
  <c r="A222" i="8"/>
  <c r="A221" i="19"/>
  <c r="A221" i="8"/>
  <c r="A220" i="19"/>
  <c r="A220" i="8"/>
  <c r="A219" i="19"/>
  <c r="A219" i="8"/>
  <c r="A218" i="19"/>
  <c r="A218" i="8"/>
  <c r="A217" i="19"/>
  <c r="A217" i="8"/>
  <c r="A216" i="19"/>
  <c r="A216" i="8"/>
  <c r="A215" i="19"/>
  <c r="A215" i="8"/>
  <c r="A214" i="19"/>
  <c r="A214" i="8"/>
  <c r="A213" i="19"/>
  <c r="A213" i="8"/>
  <c r="A212" i="19"/>
  <c r="A212" i="8"/>
  <c r="A211" i="19"/>
  <c r="A211" i="8"/>
  <c r="A210" i="19"/>
  <c r="A210" i="8"/>
  <c r="A209" i="19"/>
  <c r="A209" i="8"/>
  <c r="A208" i="19"/>
  <c r="A208" i="8"/>
  <c r="A207" i="19"/>
  <c r="A207" i="8"/>
  <c r="A206" i="19"/>
  <c r="A206" i="8"/>
  <c r="A205" i="19"/>
  <c r="A205" i="8"/>
  <c r="A204" i="19"/>
  <c r="A204" i="8"/>
  <c r="A203" i="19"/>
  <c r="A203" i="8"/>
  <c r="A202" i="19"/>
  <c r="A202" i="8"/>
  <c r="A201" i="19"/>
  <c r="A201" i="8"/>
  <c r="A200" i="19"/>
  <c r="A200" i="8"/>
  <c r="A199" i="19"/>
  <c r="A199" i="8"/>
  <c r="A198" i="19"/>
  <c r="A198" i="8"/>
  <c r="A197" i="19"/>
  <c r="A197" i="8"/>
  <c r="A196" i="19"/>
  <c r="A196" i="8"/>
  <c r="A195" i="19"/>
  <c r="A195" i="8"/>
  <c r="A194" i="19"/>
  <c r="A194" i="8"/>
  <c r="A193" i="19"/>
  <c r="A193" i="8"/>
  <c r="A192" i="19"/>
  <c r="A192" i="8"/>
  <c r="A191" i="19"/>
  <c r="A191" i="8"/>
  <c r="A190" i="19"/>
  <c r="A190" i="8"/>
  <c r="A189" i="19"/>
  <c r="A189" i="8"/>
  <c r="A188" i="19"/>
  <c r="A188" i="8"/>
  <c r="A187" i="19"/>
  <c r="A187" i="8"/>
  <c r="A186" i="19"/>
  <c r="A186" i="8"/>
  <c r="A185" i="19"/>
  <c r="A185" i="8"/>
  <c r="A184" i="19"/>
  <c r="A184" i="8"/>
  <c r="A183" i="19"/>
  <c r="A183" i="8"/>
  <c r="A182" i="19"/>
  <c r="A182" i="8"/>
  <c r="A181" i="19"/>
  <c r="A181" i="8"/>
  <c r="A180" i="19"/>
  <c r="A180" i="8"/>
  <c r="A179" i="19"/>
  <c r="A179" i="8"/>
  <c r="A178" i="19"/>
  <c r="A178" i="8"/>
  <c r="A177" i="19"/>
  <c r="A177" i="8"/>
  <c r="A176" i="19"/>
  <c r="A176" i="8"/>
  <c r="A175" i="19"/>
  <c r="A175" i="8"/>
  <c r="A174" i="19"/>
  <c r="A174" i="8"/>
  <c r="A173" i="19"/>
  <c r="A173" i="8"/>
  <c r="A172" i="19"/>
  <c r="A172" i="8"/>
  <c r="A171" i="19"/>
  <c r="A171" i="8"/>
  <c r="A170" i="19"/>
  <c r="A170" i="8"/>
  <c r="A169" i="19"/>
  <c r="A169" i="8"/>
  <c r="A168" i="19"/>
  <c r="A168" i="8"/>
  <c r="A167" i="19"/>
  <c r="A167" i="8"/>
  <c r="A166" i="19"/>
  <c r="A166" i="8"/>
  <c r="A165" i="19"/>
  <c r="A165" i="8"/>
  <c r="A164" i="19"/>
  <c r="A164" i="8"/>
  <c r="A163" i="19"/>
  <c r="A163" i="8"/>
  <c r="A162" i="19"/>
  <c r="A162" i="8"/>
  <c r="A161" i="19"/>
  <c r="A161" i="8"/>
  <c r="A160" i="19"/>
  <c r="A160" i="8"/>
  <c r="A159" i="19"/>
  <c r="A159" i="8"/>
  <c r="A158" i="19"/>
  <c r="A158" i="8"/>
  <c r="A157" i="19"/>
  <c r="A157" i="8"/>
  <c r="A156" i="19"/>
  <c r="A156" i="8"/>
  <c r="A155" i="19"/>
  <c r="A155" i="8"/>
  <c r="A154" i="19"/>
  <c r="A154" i="8"/>
  <c r="A153" i="19"/>
  <c r="A153" i="8"/>
  <c r="A152" i="19"/>
  <c r="A152" i="8"/>
  <c r="A151" i="19"/>
  <c r="A151" i="8"/>
  <c r="A150" i="19"/>
  <c r="A150" i="8"/>
  <c r="A149" i="19"/>
  <c r="A149" i="8"/>
  <c r="A148" i="19"/>
  <c r="A148" i="8"/>
  <c r="A147" i="19"/>
  <c r="A147" i="8"/>
  <c r="A146" i="19"/>
  <c r="A146" i="8"/>
  <c r="A145" i="19"/>
  <c r="A145" i="8"/>
  <c r="A144" i="19"/>
  <c r="A144" i="8"/>
  <c r="A143" i="19"/>
  <c r="A143" i="8"/>
  <c r="A142" i="19"/>
  <c r="A142" i="8"/>
  <c r="A141" i="19"/>
  <c r="A141" i="8"/>
  <c r="A140" i="19"/>
  <c r="A140" i="8"/>
  <c r="A139" i="19"/>
  <c r="A139" i="8"/>
  <c r="A138" i="19"/>
  <c r="A138" i="8"/>
  <c r="A137" i="19"/>
  <c r="A137" i="8"/>
  <c r="A136" i="19"/>
  <c r="A136" i="8"/>
  <c r="A135" i="19"/>
  <c r="A135" i="8"/>
  <c r="A134" i="19"/>
  <c r="A134" i="8"/>
  <c r="A133" i="19"/>
  <c r="A133" i="8"/>
  <c r="A132" i="19"/>
  <c r="A132" i="8"/>
  <c r="A131" i="19"/>
  <c r="A131" i="8"/>
  <c r="A130" i="19"/>
  <c r="A130" i="8"/>
  <c r="A129" i="19"/>
  <c r="A129" i="8"/>
  <c r="A128" i="19"/>
  <c r="A128" i="8"/>
  <c r="A127" i="19"/>
  <c r="A127" i="8"/>
  <c r="A126" i="19"/>
  <c r="A126" i="8"/>
  <c r="A125" i="19"/>
  <c r="A125" i="8"/>
  <c r="A124" i="19"/>
  <c r="A124" i="8"/>
  <c r="A123" i="19"/>
  <c r="A123" i="8"/>
  <c r="A122" i="19"/>
  <c r="A122" i="8"/>
  <c r="A121" i="19"/>
  <c r="A121" i="8"/>
  <c r="A120" i="19"/>
  <c r="A120" i="8"/>
  <c r="A119" i="19"/>
  <c r="A119" i="8"/>
  <c r="A118" i="19"/>
  <c r="A118" i="8"/>
  <c r="A117" i="19"/>
  <c r="A117" i="8"/>
  <c r="A116" i="19"/>
  <c r="A116" i="8"/>
  <c r="A115" i="19"/>
  <c r="A115" i="8"/>
  <c r="A114" i="19"/>
  <c r="A114" i="8"/>
  <c r="A113" i="19"/>
  <c r="A113" i="8"/>
  <c r="A112" i="19"/>
  <c r="A112" i="8"/>
  <c r="A111" i="19"/>
  <c r="A111" i="8"/>
  <c r="A110" i="19"/>
  <c r="A110" i="8"/>
  <c r="A109" i="19"/>
  <c r="A109" i="8"/>
  <c r="A108" i="19"/>
  <c r="A108" i="8"/>
  <c r="A107" i="19"/>
  <c r="A107" i="8"/>
  <c r="A106" i="19"/>
  <c r="A106" i="8"/>
  <c r="A105" i="19"/>
  <c r="A105" i="8"/>
  <c r="A104" i="19"/>
  <c r="A104" i="8"/>
  <c r="A103" i="19"/>
  <c r="A103" i="8"/>
  <c r="A102" i="19"/>
  <c r="A102" i="8"/>
  <c r="A101" i="19"/>
  <c r="A101" i="8"/>
  <c r="A100" i="19"/>
  <c r="A100" i="8"/>
  <c r="A99" i="19"/>
  <c r="A99" i="8"/>
  <c r="A98" i="19"/>
  <c r="A98" i="8"/>
  <c r="A97" i="19"/>
  <c r="A97" i="8"/>
  <c r="A96" i="19"/>
  <c r="A96" i="8"/>
  <c r="A95" i="19"/>
  <c r="A95" i="8"/>
  <c r="A94" i="19"/>
  <c r="A94" i="8"/>
  <c r="A93" i="19"/>
  <c r="A93" i="8"/>
  <c r="A92" i="19"/>
  <c r="A92" i="8"/>
  <c r="A91" i="19"/>
  <c r="A91" i="8"/>
  <c r="A90" i="19"/>
  <c r="A90" i="8"/>
  <c r="A89" i="19"/>
  <c r="A89" i="8"/>
  <c r="A88" i="19"/>
  <c r="A88" i="8"/>
  <c r="A87" i="19"/>
  <c r="A87" i="8"/>
  <c r="A86" i="19"/>
  <c r="A86" i="8"/>
  <c r="A85" i="19"/>
  <c r="A85" i="8"/>
  <c r="A84" i="19"/>
  <c r="A84" i="8"/>
  <c r="A83" i="19"/>
  <c r="A83" i="8"/>
  <c r="A82" i="19"/>
  <c r="A82" i="8"/>
  <c r="A81" i="19"/>
  <c r="A81" i="8"/>
  <c r="A80" i="19"/>
  <c r="A80" i="8"/>
  <c r="A79" i="19"/>
  <c r="A79" i="8"/>
  <c r="A78" i="19"/>
  <c r="A78" i="8"/>
  <c r="A77" i="19"/>
  <c r="A77" i="8"/>
  <c r="A76" i="19"/>
  <c r="A76" i="8"/>
  <c r="A75" i="19"/>
  <c r="A75" i="8"/>
  <c r="A74" i="19"/>
  <c r="A74" i="8"/>
  <c r="A73" i="19"/>
  <c r="A73" i="8"/>
  <c r="A72" i="19"/>
  <c r="A72" i="8"/>
  <c r="A71" i="19"/>
  <c r="A71" i="8"/>
  <c r="A70" i="19"/>
  <c r="A70" i="8"/>
  <c r="A69" i="19"/>
  <c r="A69" i="8"/>
  <c r="A68" i="19"/>
  <c r="A68" i="8"/>
  <c r="A67" i="19"/>
  <c r="A67" i="8"/>
  <c r="A66" i="19"/>
  <c r="A66" i="8"/>
  <c r="A65" i="19"/>
  <c r="A65" i="8"/>
  <c r="A64" i="19"/>
  <c r="A64" i="8"/>
  <c r="A63" i="19"/>
  <c r="A63" i="8"/>
  <c r="A62" i="19"/>
  <c r="A62" i="8"/>
  <c r="A61" i="19"/>
  <c r="A61" i="8"/>
  <c r="A60" i="19"/>
  <c r="A60" i="8"/>
  <c r="A59" i="19"/>
  <c r="A59" i="8"/>
  <c r="A58" i="19"/>
  <c r="A58" i="8"/>
  <c r="A57" i="19"/>
  <c r="A57" i="8"/>
  <c r="A56" i="19"/>
  <c r="A56" i="8"/>
  <c r="A55" i="19"/>
  <c r="A55" i="8"/>
  <c r="A54" i="19"/>
  <c r="A54" i="8"/>
  <c r="A53" i="19"/>
  <c r="A53" i="8"/>
  <c r="A209" i="17"/>
  <c r="A209" i="15"/>
  <c r="A209" i="16"/>
  <c r="A288" i="17"/>
  <c r="A288" i="15"/>
  <c r="A288" i="16"/>
  <c r="A272" i="17"/>
  <c r="A272" i="15"/>
  <c r="A272" i="16"/>
  <c r="A256" i="17"/>
  <c r="A256" i="15"/>
  <c r="A256" i="16"/>
  <c r="A240" i="17"/>
  <c r="A240" i="15"/>
  <c r="A240" i="16"/>
  <c r="A224" i="17"/>
  <c r="A224" i="15"/>
  <c r="A224" i="16"/>
  <c r="A208" i="17"/>
  <c r="A208" i="15"/>
  <c r="A208" i="16"/>
  <c r="A210" i="17"/>
  <c r="A210" i="15"/>
  <c r="A210" i="16"/>
  <c r="A225" i="17"/>
  <c r="A225" i="15"/>
  <c r="A225" i="16"/>
  <c r="A255" i="17"/>
  <c r="A255" i="15"/>
  <c r="A255" i="16"/>
  <c r="A285" i="17"/>
  <c r="A285" i="16"/>
  <c r="A285" i="15"/>
  <c r="A269" i="15"/>
  <c r="A269" i="16"/>
  <c r="A269" i="17"/>
  <c r="A253" i="17"/>
  <c r="A253" i="16"/>
  <c r="A253" i="15"/>
  <c r="A237" i="17"/>
  <c r="A237" i="16"/>
  <c r="A237" i="15"/>
  <c r="A221" i="15"/>
  <c r="A221" i="17"/>
  <c r="A221" i="16"/>
  <c r="A205" i="16"/>
  <c r="A205" i="15"/>
  <c r="A205" i="17"/>
  <c r="A274" i="17"/>
  <c r="A274" i="15"/>
  <c r="A274" i="16"/>
  <c r="A271" i="17"/>
  <c r="A271" i="15"/>
  <c r="A271" i="16"/>
  <c r="A286" i="17"/>
  <c r="A286" i="15"/>
  <c r="A286" i="16"/>
  <c r="A236" i="16"/>
  <c r="A236" i="17"/>
  <c r="A236" i="15"/>
  <c r="A289" i="17"/>
  <c r="A289" i="15"/>
  <c r="A289" i="16"/>
  <c r="A219" i="16"/>
  <c r="A219" i="17"/>
  <c r="A219" i="15"/>
  <c r="A226" i="17"/>
  <c r="A226" i="15"/>
  <c r="A226" i="16"/>
  <c r="A223" i="17"/>
  <c r="A223" i="15"/>
  <c r="A223" i="16"/>
  <c r="A238" i="17"/>
  <c r="A238" i="15"/>
  <c r="A238" i="16"/>
  <c r="A301" i="16"/>
  <c r="A301" i="17"/>
  <c r="A284" i="16"/>
  <c r="A284" i="17"/>
  <c r="A284" i="15"/>
  <c r="A299" i="16"/>
  <c r="A299" i="15"/>
  <c r="A299" i="17"/>
  <c r="A251" i="16"/>
  <c r="A251" i="15"/>
  <c r="A251" i="17"/>
  <c r="A298" i="16"/>
  <c r="A298" i="17"/>
  <c r="A298" i="15"/>
  <c r="A282" i="16"/>
  <c r="A282" i="17"/>
  <c r="A282" i="15"/>
  <c r="A266" i="16"/>
  <c r="A266" i="17"/>
  <c r="A266" i="15"/>
  <c r="A250" i="16"/>
  <c r="A250" i="17"/>
  <c r="A250" i="15"/>
  <c r="A234" i="16"/>
  <c r="A234" i="17"/>
  <c r="A234" i="15"/>
  <c r="A218" i="16"/>
  <c r="A218" i="17"/>
  <c r="A218" i="15"/>
  <c r="A202" i="16"/>
  <c r="A202" i="17"/>
  <c r="A202" i="15"/>
  <c r="A268" i="16"/>
  <c r="A268" i="17"/>
  <c r="A268" i="15"/>
  <c r="A257" i="17"/>
  <c r="A257" i="15"/>
  <c r="A257" i="16"/>
  <c r="A239" i="17"/>
  <c r="A239" i="15"/>
  <c r="A239" i="16"/>
  <c r="A206" i="17"/>
  <c r="A206" i="15"/>
  <c r="A206" i="16"/>
  <c r="A252" i="16"/>
  <c r="A252" i="17"/>
  <c r="A252" i="15"/>
  <c r="A281" i="16"/>
  <c r="A281" i="15"/>
  <c r="A281" i="17"/>
  <c r="A217" i="16"/>
  <c r="A217" i="15"/>
  <c r="A217" i="17"/>
  <c r="A296" i="16"/>
  <c r="A296" i="17"/>
  <c r="A296" i="15"/>
  <c r="A280" i="16"/>
  <c r="A280" i="17"/>
  <c r="A280" i="15"/>
  <c r="A232" i="16"/>
  <c r="A232" i="17"/>
  <c r="A232" i="15"/>
  <c r="A258" i="17"/>
  <c r="A258" i="15"/>
  <c r="A258" i="16"/>
  <c r="A241" i="15"/>
  <c r="A241" i="17"/>
  <c r="A241" i="16"/>
  <c r="A267" i="16"/>
  <c r="A267" i="17"/>
  <c r="A267" i="15"/>
  <c r="A233" i="16"/>
  <c r="A233" i="15"/>
  <c r="A233" i="17"/>
  <c r="A264" i="16"/>
  <c r="A264" i="17"/>
  <c r="A264" i="15"/>
  <c r="A295" i="16"/>
  <c r="A295" i="17"/>
  <c r="A295" i="15"/>
  <c r="A279" i="16"/>
  <c r="A279" i="15"/>
  <c r="A279" i="17"/>
  <c r="A263" i="16"/>
  <c r="A263" i="15"/>
  <c r="A263" i="17"/>
  <c r="A247" i="16"/>
  <c r="A247" i="17"/>
  <c r="A247" i="15"/>
  <c r="A231" i="16"/>
  <c r="A231" i="17"/>
  <c r="A231" i="15"/>
  <c r="A215" i="16"/>
  <c r="A215" i="17"/>
  <c r="A215" i="15"/>
  <c r="A204" i="16"/>
  <c r="A204" i="17"/>
  <c r="A204" i="15"/>
  <c r="A283" i="16"/>
  <c r="A283" i="17"/>
  <c r="A283" i="15"/>
  <c r="A294" i="16"/>
  <c r="A294" i="17"/>
  <c r="A294" i="15"/>
  <c r="A246" i="16"/>
  <c r="A246" i="17"/>
  <c r="A246" i="15"/>
  <c r="A214" i="16"/>
  <c r="A214" i="17"/>
  <c r="A214" i="15"/>
  <c r="A290" i="17"/>
  <c r="A290" i="15"/>
  <c r="A290" i="16"/>
  <c r="A270" i="17"/>
  <c r="A270" i="15"/>
  <c r="A270" i="16"/>
  <c r="A235" i="16"/>
  <c r="A235" i="17"/>
  <c r="A235" i="15"/>
  <c r="A249" i="16"/>
  <c r="A249" i="17"/>
  <c r="A249" i="15"/>
  <c r="A230" i="16"/>
  <c r="A230" i="17"/>
  <c r="A230" i="15"/>
  <c r="A293" i="17"/>
  <c r="A293" i="15"/>
  <c r="A293" i="16"/>
  <c r="A277" i="17"/>
  <c r="A277" i="15"/>
  <c r="A277" i="16"/>
  <c r="A261" i="15"/>
  <c r="A261" i="17"/>
  <c r="A261" i="16"/>
  <c r="A245" i="16"/>
  <c r="A245" i="17"/>
  <c r="A245" i="15"/>
  <c r="A229" i="17"/>
  <c r="A229" i="15"/>
  <c r="A229" i="16"/>
  <c r="A213" i="17"/>
  <c r="A213" i="15"/>
  <c r="A213" i="16"/>
  <c r="A273" i="15"/>
  <c r="A273" i="17"/>
  <c r="A273" i="16"/>
  <c r="A207" i="17"/>
  <c r="A207" i="15"/>
  <c r="A207" i="16"/>
  <c r="A222" i="17"/>
  <c r="A222" i="15"/>
  <c r="A222" i="16"/>
  <c r="A220" i="16"/>
  <c r="A220" i="17"/>
  <c r="A220" i="15"/>
  <c r="A297" i="16"/>
  <c r="A297" i="15"/>
  <c r="A297" i="17"/>
  <c r="A216" i="16"/>
  <c r="A216" i="17"/>
  <c r="A216" i="15"/>
  <c r="A262" i="16"/>
  <c r="A262" i="17"/>
  <c r="A262" i="15"/>
  <c r="A292" i="17"/>
  <c r="A292" i="15"/>
  <c r="A292" i="16"/>
  <c r="A276" i="17"/>
  <c r="A276" i="15"/>
  <c r="A276" i="16"/>
  <c r="A260" i="17"/>
  <c r="A260" i="15"/>
  <c r="A260" i="16"/>
  <c r="A244" i="17"/>
  <c r="A244" i="15"/>
  <c r="A244" i="16"/>
  <c r="A228" i="17"/>
  <c r="A228" i="15"/>
  <c r="A228" i="16"/>
  <c r="A212" i="17"/>
  <c r="A212" i="15"/>
  <c r="A212" i="16"/>
  <c r="A242" i="17"/>
  <c r="A242" i="15"/>
  <c r="A242" i="16"/>
  <c r="A287" i="17"/>
  <c r="A287" i="15"/>
  <c r="A287" i="16"/>
  <c r="A254" i="17"/>
  <c r="A254" i="15"/>
  <c r="A254" i="16"/>
  <c r="A300" i="16"/>
  <c r="A300" i="17"/>
  <c r="A300" i="15"/>
  <c r="A203" i="16"/>
  <c r="A203" i="15"/>
  <c r="A203" i="17"/>
  <c r="A265" i="16"/>
  <c r="A265" i="17"/>
  <c r="A265" i="15"/>
  <c r="A248" i="16"/>
  <c r="A248" i="17"/>
  <c r="A248" i="15"/>
  <c r="A278" i="16"/>
  <c r="A278" i="17"/>
  <c r="A278" i="15"/>
  <c r="A291" i="17"/>
  <c r="A291" i="15"/>
  <c r="A291" i="16"/>
  <c r="A275" i="17"/>
  <c r="A275" i="15"/>
  <c r="A275" i="16"/>
  <c r="A259" i="15"/>
  <c r="A259" i="17"/>
  <c r="A259" i="16"/>
  <c r="A243" i="15"/>
  <c r="A243" i="17"/>
  <c r="A243" i="16"/>
  <c r="A227" i="17"/>
  <c r="A227" i="15"/>
  <c r="A227" i="16"/>
  <c r="A211" i="17"/>
  <c r="A211" i="15"/>
  <c r="A211" i="16"/>
  <c r="A3" i="8"/>
  <c r="B3" i="15"/>
  <c r="B201" i="17"/>
  <c r="A201" i="17"/>
  <c r="B200" i="17"/>
  <c r="A200" i="17"/>
  <c r="B199" i="17"/>
  <c r="A199" i="17"/>
  <c r="B198" i="17"/>
  <c r="A198" i="17"/>
  <c r="B197" i="17"/>
  <c r="A197" i="17"/>
  <c r="B196" i="17"/>
  <c r="A196" i="17"/>
  <c r="B195" i="17"/>
  <c r="A195" i="17"/>
  <c r="B194" i="17"/>
  <c r="A194" i="17"/>
  <c r="B193" i="17"/>
  <c r="A193" i="17"/>
  <c r="B192" i="17"/>
  <c r="A192" i="17"/>
  <c r="B191" i="17"/>
  <c r="A191" i="17"/>
  <c r="B190" i="17"/>
  <c r="A190" i="17"/>
  <c r="B189" i="17"/>
  <c r="A189" i="17"/>
  <c r="B188" i="17"/>
  <c r="A188" i="17"/>
  <c r="B187" i="17"/>
  <c r="A187" i="17"/>
  <c r="B186" i="17"/>
  <c r="A186" i="17"/>
  <c r="B185" i="17"/>
  <c r="A185" i="17"/>
  <c r="B184" i="17"/>
  <c r="A184" i="17"/>
  <c r="B183" i="17"/>
  <c r="A183" i="17"/>
  <c r="B182" i="17"/>
  <c r="A182" i="17"/>
  <c r="B181" i="17"/>
  <c r="A181" i="17"/>
  <c r="B180" i="17"/>
  <c r="A180" i="17"/>
  <c r="B179" i="17"/>
  <c r="A179" i="17"/>
  <c r="B178" i="17"/>
  <c r="A178" i="17"/>
  <c r="B177" i="17"/>
  <c r="A177" i="17"/>
  <c r="B176" i="17"/>
  <c r="A176" i="17"/>
  <c r="B175" i="17"/>
  <c r="A175" i="17"/>
  <c r="B174" i="17"/>
  <c r="A174" i="17"/>
  <c r="B173" i="17"/>
  <c r="A173" i="17"/>
  <c r="B172" i="17"/>
  <c r="A172" i="17"/>
  <c r="B171" i="17"/>
  <c r="A171" i="17"/>
  <c r="B170" i="17"/>
  <c r="A170" i="17"/>
  <c r="B169" i="17"/>
  <c r="A169" i="17"/>
  <c r="B168" i="17"/>
  <c r="A168" i="17"/>
  <c r="B167" i="17"/>
  <c r="A167" i="17"/>
  <c r="B166" i="17"/>
  <c r="A166" i="17"/>
  <c r="B165" i="17"/>
  <c r="A165" i="17"/>
  <c r="B164" i="17"/>
  <c r="A164" i="17"/>
  <c r="B163" i="17"/>
  <c r="A163" i="17"/>
  <c r="B162" i="17"/>
  <c r="A162" i="17"/>
  <c r="B161" i="17"/>
  <c r="A161" i="17"/>
  <c r="B160" i="17"/>
  <c r="A160" i="17"/>
  <c r="B159" i="17"/>
  <c r="A159" i="17"/>
  <c r="B158" i="17"/>
  <c r="A158" i="17"/>
  <c r="B157" i="17"/>
  <c r="A157" i="17"/>
  <c r="B156" i="17"/>
  <c r="A156" i="17"/>
  <c r="B155" i="17"/>
  <c r="A155" i="17"/>
  <c r="B154" i="17"/>
  <c r="A154" i="17"/>
  <c r="B153" i="17"/>
  <c r="A153" i="17"/>
  <c r="B152" i="17"/>
  <c r="A152" i="17"/>
  <c r="B151" i="17"/>
  <c r="A151" i="17"/>
  <c r="B150" i="17"/>
  <c r="A150" i="17"/>
  <c r="B149" i="17"/>
  <c r="A149" i="17"/>
  <c r="B148" i="17"/>
  <c r="A148" i="17"/>
  <c r="B147" i="17"/>
  <c r="A147" i="17"/>
  <c r="B146" i="17"/>
  <c r="A146" i="17"/>
  <c r="B145" i="17"/>
  <c r="A145" i="17"/>
  <c r="B144" i="17"/>
  <c r="A144" i="17"/>
  <c r="B143" i="17"/>
  <c r="A143" i="17"/>
  <c r="B142" i="17"/>
  <c r="A142" i="17"/>
  <c r="B141" i="17"/>
  <c r="A141" i="17"/>
  <c r="B140" i="17"/>
  <c r="A140" i="17"/>
  <c r="B139" i="17"/>
  <c r="A139" i="17"/>
  <c r="B138" i="17"/>
  <c r="A138" i="17"/>
  <c r="B137" i="17"/>
  <c r="A137" i="17"/>
  <c r="B136" i="17"/>
  <c r="A136" i="17"/>
  <c r="B135" i="17"/>
  <c r="A135" i="17"/>
  <c r="B134" i="17"/>
  <c r="A134" i="17"/>
  <c r="B133" i="17"/>
  <c r="A133" i="17"/>
  <c r="B132" i="17"/>
  <c r="A132" i="17"/>
  <c r="B131" i="17"/>
  <c r="A131" i="17"/>
  <c r="B130" i="17"/>
  <c r="A130" i="17"/>
  <c r="B129" i="17"/>
  <c r="A129" i="17"/>
  <c r="B128" i="17"/>
  <c r="A128" i="17"/>
  <c r="B127" i="17"/>
  <c r="A127" i="17"/>
  <c r="B126" i="17"/>
  <c r="A126" i="17"/>
  <c r="B125" i="17"/>
  <c r="A125" i="17"/>
  <c r="B124" i="17"/>
  <c r="A124" i="17"/>
  <c r="B123" i="17"/>
  <c r="A123" i="17"/>
  <c r="B122" i="17"/>
  <c r="A122" i="17"/>
  <c r="B121" i="17"/>
  <c r="A121" i="17"/>
  <c r="B120" i="17"/>
  <c r="A120" i="17"/>
  <c r="B119" i="17"/>
  <c r="A119" i="17"/>
  <c r="B118" i="17"/>
  <c r="A118" i="17"/>
  <c r="B117" i="17"/>
  <c r="A117" i="17"/>
  <c r="B116" i="17"/>
  <c r="A116" i="17"/>
  <c r="B115" i="17"/>
  <c r="A115" i="17"/>
  <c r="B114" i="17"/>
  <c r="A114" i="17"/>
  <c r="B113" i="17"/>
  <c r="A113" i="17"/>
  <c r="B112" i="17"/>
  <c r="A112" i="17"/>
  <c r="B111" i="17"/>
  <c r="A111" i="17"/>
  <c r="B110" i="17"/>
  <c r="A110" i="17"/>
  <c r="B109" i="17"/>
  <c r="A109" i="17"/>
  <c r="B108" i="17"/>
  <c r="A108" i="17"/>
  <c r="B107" i="17"/>
  <c r="A107" i="17"/>
  <c r="B106" i="17"/>
  <c r="A106" i="17"/>
  <c r="B105" i="17"/>
  <c r="A105" i="17"/>
  <c r="B104" i="17"/>
  <c r="A104" i="17"/>
  <c r="B103" i="17"/>
  <c r="A103" i="17"/>
  <c r="B102" i="17"/>
  <c r="A102" i="17"/>
  <c r="B101" i="17"/>
  <c r="A101" i="17"/>
  <c r="B100" i="17"/>
  <c r="A100" i="17"/>
  <c r="B99" i="17"/>
  <c r="A99" i="17"/>
  <c r="B98" i="17"/>
  <c r="A98" i="17"/>
  <c r="B97" i="17"/>
  <c r="A97" i="17"/>
  <c r="B96" i="17"/>
  <c r="A96" i="17"/>
  <c r="B95" i="17"/>
  <c r="A95" i="17"/>
  <c r="B94" i="17"/>
  <c r="A94" i="17"/>
  <c r="B93" i="17"/>
  <c r="A93" i="17"/>
  <c r="B92" i="17"/>
  <c r="A92" i="17"/>
  <c r="B91" i="17"/>
  <c r="A91" i="17"/>
  <c r="B90" i="17"/>
  <c r="A90" i="17"/>
  <c r="B89" i="17"/>
  <c r="A89" i="17"/>
  <c r="B88" i="17"/>
  <c r="A88" i="17"/>
  <c r="B87" i="17"/>
  <c r="A87" i="17"/>
  <c r="B86" i="17"/>
  <c r="A86" i="17"/>
  <c r="B85" i="17"/>
  <c r="A85" i="17"/>
  <c r="B84" i="17"/>
  <c r="A84" i="17"/>
  <c r="B83" i="17"/>
  <c r="A83" i="17"/>
  <c r="B82" i="17"/>
  <c r="A82" i="17"/>
  <c r="B81" i="17"/>
  <c r="A81" i="17"/>
  <c r="B80" i="17"/>
  <c r="A80" i="17"/>
  <c r="B79" i="17"/>
  <c r="A79" i="17"/>
  <c r="B78" i="17"/>
  <c r="A78" i="17"/>
  <c r="B77" i="17"/>
  <c r="A77" i="17"/>
  <c r="B76" i="17"/>
  <c r="A76" i="17"/>
  <c r="B75" i="17"/>
  <c r="A75" i="17"/>
  <c r="B74" i="17"/>
  <c r="A74" i="17"/>
  <c r="B73" i="17"/>
  <c r="A73" i="17"/>
  <c r="B72" i="17"/>
  <c r="A72" i="17"/>
  <c r="B71" i="17"/>
  <c r="A71" i="17"/>
  <c r="B70" i="17"/>
  <c r="A70" i="17"/>
  <c r="B69" i="17"/>
  <c r="A69" i="17"/>
  <c r="B68" i="17"/>
  <c r="A68" i="17"/>
  <c r="B67" i="17"/>
  <c r="A67" i="17"/>
  <c r="B66" i="17"/>
  <c r="A66" i="17"/>
  <c r="B65" i="17"/>
  <c r="A65" i="17"/>
  <c r="B64" i="17"/>
  <c r="A64" i="17"/>
  <c r="B63" i="17"/>
  <c r="A63" i="17"/>
  <c r="B62" i="17"/>
  <c r="A62" i="17"/>
  <c r="B61" i="17"/>
  <c r="A61" i="17"/>
  <c r="B60" i="17"/>
  <c r="A60" i="17"/>
  <c r="B59" i="17"/>
  <c r="A59" i="17"/>
  <c r="B58" i="17"/>
  <c r="A58" i="17"/>
  <c r="B57" i="17"/>
  <c r="A57" i="17"/>
  <c r="B56" i="17"/>
  <c r="A56" i="17"/>
  <c r="B55" i="17"/>
  <c r="A55" i="17"/>
  <c r="B54" i="17"/>
  <c r="A54" i="17"/>
  <c r="B53" i="17"/>
  <c r="A53" i="17"/>
  <c r="B201" i="16"/>
  <c r="A201" i="16"/>
  <c r="B200" i="16"/>
  <c r="A200" i="16"/>
  <c r="B199" i="16"/>
  <c r="A199" i="16"/>
  <c r="B198" i="16"/>
  <c r="A198" i="16"/>
  <c r="B197" i="16"/>
  <c r="A197" i="16"/>
  <c r="B196" i="16"/>
  <c r="A196" i="16"/>
  <c r="B195" i="16"/>
  <c r="A195" i="16"/>
  <c r="B194" i="16"/>
  <c r="A194" i="16"/>
  <c r="B193" i="16"/>
  <c r="A193" i="16"/>
  <c r="B192" i="16"/>
  <c r="A192" i="16"/>
  <c r="B191" i="16"/>
  <c r="A191" i="16"/>
  <c r="B190" i="16"/>
  <c r="A190" i="16"/>
  <c r="B189" i="16"/>
  <c r="A189" i="16"/>
  <c r="B188" i="16"/>
  <c r="A188" i="16"/>
  <c r="B187" i="16"/>
  <c r="A187" i="16"/>
  <c r="B186" i="16"/>
  <c r="A186" i="16"/>
  <c r="B185" i="16"/>
  <c r="A185" i="16"/>
  <c r="B184" i="16"/>
  <c r="A184" i="16"/>
  <c r="B183" i="16"/>
  <c r="A183" i="16"/>
  <c r="B182" i="16"/>
  <c r="A182" i="16"/>
  <c r="B181" i="16"/>
  <c r="A181" i="16"/>
  <c r="B180" i="16"/>
  <c r="A180" i="16"/>
  <c r="B179" i="16"/>
  <c r="A179" i="16"/>
  <c r="B178" i="16"/>
  <c r="A178" i="16"/>
  <c r="B177" i="16"/>
  <c r="A177" i="16"/>
  <c r="B176" i="16"/>
  <c r="A176" i="16"/>
  <c r="B175" i="16"/>
  <c r="A175" i="16"/>
  <c r="B174" i="16"/>
  <c r="A174" i="16"/>
  <c r="B173" i="16"/>
  <c r="A173" i="16"/>
  <c r="B172" i="16"/>
  <c r="A172" i="16"/>
  <c r="B171" i="16"/>
  <c r="A171" i="16"/>
  <c r="B170" i="16"/>
  <c r="A170" i="16"/>
  <c r="B169" i="16"/>
  <c r="A169" i="16"/>
  <c r="B168" i="16"/>
  <c r="A168" i="16"/>
  <c r="B167" i="16"/>
  <c r="A167" i="16"/>
  <c r="B166" i="16"/>
  <c r="A166" i="16"/>
  <c r="B165" i="16"/>
  <c r="A165" i="16"/>
  <c r="B164" i="16"/>
  <c r="A164" i="16"/>
  <c r="B163" i="16"/>
  <c r="A163" i="16"/>
  <c r="B162" i="16"/>
  <c r="A162" i="16"/>
  <c r="B161" i="16"/>
  <c r="A161" i="16"/>
  <c r="B160" i="16"/>
  <c r="A160" i="16"/>
  <c r="B159" i="16"/>
  <c r="A159" i="16"/>
  <c r="B158" i="16"/>
  <c r="A158" i="16"/>
  <c r="B157" i="16"/>
  <c r="A157" i="16"/>
  <c r="B156" i="16"/>
  <c r="A156" i="16"/>
  <c r="B155" i="16"/>
  <c r="A155" i="16"/>
  <c r="B154" i="16"/>
  <c r="A154" i="16"/>
  <c r="B153" i="16"/>
  <c r="A153" i="16"/>
  <c r="B152" i="16"/>
  <c r="A152" i="16"/>
  <c r="B151" i="16"/>
  <c r="A151" i="16"/>
  <c r="B150" i="16"/>
  <c r="A150" i="16"/>
  <c r="B149" i="16"/>
  <c r="A149" i="16"/>
  <c r="B148" i="16"/>
  <c r="A148" i="16"/>
  <c r="B147" i="16"/>
  <c r="A147" i="16"/>
  <c r="B146" i="16"/>
  <c r="A146" i="16"/>
  <c r="B145" i="16"/>
  <c r="A145" i="16"/>
  <c r="B144" i="16"/>
  <c r="A144" i="16"/>
  <c r="B143" i="16"/>
  <c r="A143" i="16"/>
  <c r="B142" i="16"/>
  <c r="A142" i="16"/>
  <c r="B141" i="16"/>
  <c r="A141" i="16"/>
  <c r="B140" i="16"/>
  <c r="A140" i="16"/>
  <c r="B139" i="16"/>
  <c r="A139" i="16"/>
  <c r="B138" i="16"/>
  <c r="A138" i="16"/>
  <c r="B137" i="16"/>
  <c r="A137" i="16"/>
  <c r="B136" i="16"/>
  <c r="A136" i="16"/>
  <c r="B135" i="16"/>
  <c r="A135" i="16"/>
  <c r="B134" i="16"/>
  <c r="A134" i="16"/>
  <c r="B133" i="16"/>
  <c r="A133" i="16"/>
  <c r="B132" i="16"/>
  <c r="A132" i="16"/>
  <c r="B131" i="16"/>
  <c r="A131" i="16"/>
  <c r="B130" i="16"/>
  <c r="A130" i="16"/>
  <c r="B129" i="16"/>
  <c r="A129" i="16"/>
  <c r="B128" i="16"/>
  <c r="A128" i="16"/>
  <c r="B127" i="16"/>
  <c r="A127" i="16"/>
  <c r="B126" i="16"/>
  <c r="A126" i="16"/>
  <c r="B125" i="16"/>
  <c r="A125" i="16"/>
  <c r="B124" i="16"/>
  <c r="A124" i="16"/>
  <c r="B123" i="16"/>
  <c r="A123" i="16"/>
  <c r="B122" i="16"/>
  <c r="A122" i="16"/>
  <c r="B121" i="16"/>
  <c r="A121" i="16"/>
  <c r="B120" i="16"/>
  <c r="A120" i="16"/>
  <c r="B119" i="16"/>
  <c r="A119" i="16"/>
  <c r="B118" i="16"/>
  <c r="A118" i="16"/>
  <c r="B117" i="16"/>
  <c r="A117" i="16"/>
  <c r="B116" i="16"/>
  <c r="A116" i="16"/>
  <c r="B115" i="16"/>
  <c r="A115" i="16"/>
  <c r="B114" i="16"/>
  <c r="A114" i="16"/>
  <c r="B113" i="16"/>
  <c r="A113" i="16"/>
  <c r="B112" i="16"/>
  <c r="A112" i="16"/>
  <c r="B111" i="16"/>
  <c r="A111" i="16"/>
  <c r="B110" i="16"/>
  <c r="A110" i="16"/>
  <c r="B109" i="16"/>
  <c r="A109" i="16"/>
  <c r="B108" i="16"/>
  <c r="A108" i="16"/>
  <c r="B107" i="16"/>
  <c r="A107" i="16"/>
  <c r="B106" i="16"/>
  <c r="A106" i="16"/>
  <c r="B105" i="16"/>
  <c r="A105" i="16"/>
  <c r="B104" i="16"/>
  <c r="A104" i="16"/>
  <c r="B103" i="16"/>
  <c r="A103" i="16"/>
  <c r="B102" i="16"/>
  <c r="A102" i="16"/>
  <c r="B101" i="16"/>
  <c r="A101" i="16"/>
  <c r="B100" i="16"/>
  <c r="A100" i="16"/>
  <c r="B99" i="16"/>
  <c r="A99" i="16"/>
  <c r="B98" i="16"/>
  <c r="A98" i="16"/>
  <c r="B97" i="16"/>
  <c r="A97" i="16"/>
  <c r="B96" i="16"/>
  <c r="A96" i="16"/>
  <c r="B95" i="16"/>
  <c r="A95" i="16"/>
  <c r="B94" i="16"/>
  <c r="A94" i="16"/>
  <c r="B93" i="16"/>
  <c r="A93" i="16"/>
  <c r="B92" i="16"/>
  <c r="A92" i="16"/>
  <c r="B91" i="16"/>
  <c r="A91" i="16"/>
  <c r="B90" i="16"/>
  <c r="A90" i="16"/>
  <c r="B89" i="16"/>
  <c r="A89" i="16"/>
  <c r="B88" i="16"/>
  <c r="A88" i="16"/>
  <c r="B87" i="16"/>
  <c r="A87" i="16"/>
  <c r="B86" i="16"/>
  <c r="A86" i="16"/>
  <c r="B85" i="16"/>
  <c r="A85" i="16"/>
  <c r="B84" i="16"/>
  <c r="A84" i="16"/>
  <c r="B83" i="16"/>
  <c r="A83" i="16"/>
  <c r="B82" i="16"/>
  <c r="A82" i="16"/>
  <c r="B81" i="16"/>
  <c r="A81" i="16"/>
  <c r="B80" i="16"/>
  <c r="A80" i="16"/>
  <c r="B79" i="16"/>
  <c r="A79" i="16"/>
  <c r="B78" i="16"/>
  <c r="A78" i="16"/>
  <c r="B77" i="16"/>
  <c r="A77" i="16"/>
  <c r="B76" i="16"/>
  <c r="A76" i="16"/>
  <c r="B75" i="16"/>
  <c r="A75" i="16"/>
  <c r="B74" i="16"/>
  <c r="A74" i="16"/>
  <c r="B73" i="16"/>
  <c r="A73" i="16"/>
  <c r="B72" i="16"/>
  <c r="A72" i="16"/>
  <c r="B71" i="16"/>
  <c r="A71" i="16"/>
  <c r="B70" i="16"/>
  <c r="A70" i="16"/>
  <c r="B69" i="16"/>
  <c r="A69" i="16"/>
  <c r="B68" i="16"/>
  <c r="A68" i="16"/>
  <c r="B67" i="16"/>
  <c r="A67" i="16"/>
  <c r="B66" i="16"/>
  <c r="A66" i="16"/>
  <c r="B65" i="16"/>
  <c r="A65" i="16"/>
  <c r="B64" i="16"/>
  <c r="A64" i="16"/>
  <c r="B63" i="16"/>
  <c r="A63" i="16"/>
  <c r="B62" i="16"/>
  <c r="A62" i="16"/>
  <c r="B61" i="16"/>
  <c r="A61" i="16"/>
  <c r="B60" i="16"/>
  <c r="A60" i="16"/>
  <c r="B59" i="16"/>
  <c r="A59" i="16"/>
  <c r="B58" i="16"/>
  <c r="A58" i="16"/>
  <c r="B57" i="16"/>
  <c r="A57" i="16"/>
  <c r="B56" i="16"/>
  <c r="A56" i="16"/>
  <c r="B55" i="16"/>
  <c r="A55" i="16"/>
  <c r="B54" i="16"/>
  <c r="A54" i="16"/>
  <c r="B53" i="16"/>
  <c r="A53" i="16"/>
  <c r="A201" i="15"/>
  <c r="B201" i="15"/>
  <c r="B200" i="15"/>
  <c r="A200" i="15"/>
  <c r="B199" i="15"/>
  <c r="A199" i="15"/>
  <c r="B198" i="15"/>
  <c r="A198" i="15"/>
  <c r="B197" i="15"/>
  <c r="A197" i="15"/>
  <c r="B196" i="15"/>
  <c r="A196" i="15"/>
  <c r="B195" i="15"/>
  <c r="A195" i="15"/>
  <c r="B194" i="15"/>
  <c r="A194" i="15"/>
  <c r="B193" i="15"/>
  <c r="A193" i="15"/>
  <c r="B192" i="15"/>
  <c r="A192" i="15"/>
  <c r="B191" i="15"/>
  <c r="A191" i="15"/>
  <c r="B190" i="15"/>
  <c r="A190" i="15"/>
  <c r="B189" i="15"/>
  <c r="A189" i="15"/>
  <c r="B188" i="15"/>
  <c r="A188" i="15"/>
  <c r="B187" i="15"/>
  <c r="A187" i="15"/>
  <c r="B186" i="15"/>
  <c r="A186" i="15"/>
  <c r="B185" i="15"/>
  <c r="A185" i="15"/>
  <c r="B184" i="15"/>
  <c r="A184" i="15"/>
  <c r="B183" i="15"/>
  <c r="A183" i="15"/>
  <c r="B182" i="15"/>
  <c r="A182" i="15"/>
  <c r="B181" i="15"/>
  <c r="A181" i="15"/>
  <c r="B180" i="15"/>
  <c r="A180" i="15"/>
  <c r="B179" i="15"/>
  <c r="A179" i="15"/>
  <c r="B178" i="15"/>
  <c r="A178" i="15"/>
  <c r="B177" i="15"/>
  <c r="A177" i="15"/>
  <c r="B176" i="15"/>
  <c r="A176" i="15"/>
  <c r="B175" i="15"/>
  <c r="A175" i="15"/>
  <c r="B174" i="15"/>
  <c r="A174" i="15"/>
  <c r="B173" i="15"/>
  <c r="A173" i="15"/>
  <c r="B172" i="15"/>
  <c r="A172" i="15"/>
  <c r="B171" i="15"/>
  <c r="A171" i="15"/>
  <c r="B170" i="15"/>
  <c r="A170" i="15"/>
  <c r="B169" i="15"/>
  <c r="A169" i="15"/>
  <c r="B168" i="15"/>
  <c r="A168" i="15"/>
  <c r="B167" i="15"/>
  <c r="A167" i="15"/>
  <c r="B166" i="15"/>
  <c r="A166" i="15"/>
  <c r="B165" i="15"/>
  <c r="A165" i="15"/>
  <c r="B164" i="15"/>
  <c r="A164" i="15"/>
  <c r="B163" i="15"/>
  <c r="A163" i="15"/>
  <c r="B162" i="15"/>
  <c r="A162" i="15"/>
  <c r="B161" i="15"/>
  <c r="A161" i="15"/>
  <c r="B160" i="15"/>
  <c r="A160" i="15"/>
  <c r="B159" i="15"/>
  <c r="A159" i="15"/>
  <c r="B158" i="15"/>
  <c r="A158" i="15"/>
  <c r="B157" i="15"/>
  <c r="A157" i="15"/>
  <c r="B156" i="15"/>
  <c r="A156" i="15"/>
  <c r="B155" i="15"/>
  <c r="A155" i="15"/>
  <c r="B154" i="15"/>
  <c r="A154" i="15"/>
  <c r="B153" i="15"/>
  <c r="A153" i="15"/>
  <c r="B152" i="15"/>
  <c r="A152" i="15"/>
  <c r="B151" i="15"/>
  <c r="A151" i="15"/>
  <c r="B150" i="15"/>
  <c r="A150" i="15"/>
  <c r="B149" i="15"/>
  <c r="A149" i="15"/>
  <c r="B148" i="15"/>
  <c r="A148" i="15"/>
  <c r="B147" i="15"/>
  <c r="A147" i="15"/>
  <c r="B146" i="15"/>
  <c r="A146" i="15"/>
  <c r="B145" i="15"/>
  <c r="A145" i="15"/>
  <c r="B144" i="15"/>
  <c r="A144" i="15"/>
  <c r="B143" i="15"/>
  <c r="A143" i="15"/>
  <c r="B142" i="15"/>
  <c r="A142" i="15"/>
  <c r="B141" i="15"/>
  <c r="A141" i="15"/>
  <c r="B140" i="15"/>
  <c r="A140" i="15"/>
  <c r="B139" i="15"/>
  <c r="A139" i="15"/>
  <c r="B138" i="15"/>
  <c r="A138" i="15"/>
  <c r="B137" i="15"/>
  <c r="A137" i="15"/>
  <c r="B136" i="15"/>
  <c r="A136" i="15"/>
  <c r="B135" i="15"/>
  <c r="A135" i="15"/>
  <c r="B134" i="15"/>
  <c r="A134" i="15"/>
  <c r="B133" i="15"/>
  <c r="A133" i="15"/>
  <c r="B132" i="15"/>
  <c r="A132" i="15"/>
  <c r="B131" i="15"/>
  <c r="A131" i="15"/>
  <c r="B130" i="15"/>
  <c r="A130" i="15"/>
  <c r="B129" i="15"/>
  <c r="A129" i="15"/>
  <c r="B128" i="15"/>
  <c r="A128" i="15"/>
  <c r="B127" i="15"/>
  <c r="A127" i="15"/>
  <c r="B126" i="15"/>
  <c r="A126" i="15"/>
  <c r="B125" i="15"/>
  <c r="A125" i="15"/>
  <c r="B124" i="15"/>
  <c r="A124" i="15"/>
  <c r="B123" i="15"/>
  <c r="A123" i="15"/>
  <c r="B122" i="15"/>
  <c r="A122" i="15"/>
  <c r="B121" i="15"/>
  <c r="A121" i="15"/>
  <c r="B120" i="15"/>
  <c r="A120" i="15"/>
  <c r="B119" i="15"/>
  <c r="A119" i="15"/>
  <c r="B118" i="15"/>
  <c r="A118" i="15"/>
  <c r="B117" i="15"/>
  <c r="A117" i="15"/>
  <c r="B116" i="15"/>
  <c r="A116" i="15"/>
  <c r="B115" i="15"/>
  <c r="A115" i="15"/>
  <c r="B114" i="15"/>
  <c r="A114" i="15"/>
  <c r="B113" i="15"/>
  <c r="A113" i="15"/>
  <c r="B112" i="15"/>
  <c r="A112" i="15"/>
  <c r="B111" i="15"/>
  <c r="A111" i="15"/>
  <c r="B110" i="15"/>
  <c r="A110" i="15"/>
  <c r="B109" i="15"/>
  <c r="A109" i="15"/>
  <c r="B108" i="15"/>
  <c r="A108" i="15"/>
  <c r="B107" i="15"/>
  <c r="A107" i="15"/>
  <c r="B106" i="15"/>
  <c r="A106" i="15"/>
  <c r="B105" i="15"/>
  <c r="A105" i="15"/>
  <c r="B104" i="15"/>
  <c r="A104" i="15"/>
  <c r="B103" i="15"/>
  <c r="A103" i="15"/>
  <c r="B102" i="15"/>
  <c r="A102" i="15"/>
  <c r="B101" i="15"/>
  <c r="A101" i="15"/>
  <c r="B100" i="15"/>
  <c r="A100" i="15"/>
  <c r="B99" i="15"/>
  <c r="A99" i="15"/>
  <c r="B98" i="15"/>
  <c r="A98" i="15"/>
  <c r="B97" i="15"/>
  <c r="A97" i="15"/>
  <c r="B96" i="15"/>
  <c r="A96" i="15"/>
  <c r="B95" i="15"/>
  <c r="A95" i="15"/>
  <c r="B94" i="15"/>
  <c r="A94" i="15"/>
  <c r="B93" i="15"/>
  <c r="A93" i="15"/>
  <c r="B92" i="15"/>
  <c r="A92" i="15"/>
  <c r="B91" i="15"/>
  <c r="A91" i="15"/>
  <c r="B90" i="15"/>
  <c r="A90" i="15"/>
  <c r="B89" i="15"/>
  <c r="A89" i="15"/>
  <c r="B88" i="15"/>
  <c r="A88" i="15"/>
  <c r="B87" i="15"/>
  <c r="A87" i="15"/>
  <c r="B86" i="15"/>
  <c r="A86" i="15"/>
  <c r="B85" i="15"/>
  <c r="A85" i="15"/>
  <c r="B84" i="15"/>
  <c r="A84" i="15"/>
  <c r="B83" i="15"/>
  <c r="A83" i="15"/>
  <c r="B82" i="15"/>
  <c r="A82" i="15"/>
  <c r="B81" i="15"/>
  <c r="A81" i="15"/>
  <c r="B80" i="15"/>
  <c r="A80" i="15"/>
  <c r="B79" i="15"/>
  <c r="A79" i="15"/>
  <c r="B78" i="15"/>
  <c r="A78" i="15"/>
  <c r="B77" i="15"/>
  <c r="A77" i="15"/>
  <c r="B76" i="15"/>
  <c r="A76" i="15"/>
  <c r="B75" i="15"/>
  <c r="A75" i="15"/>
  <c r="B74" i="15"/>
  <c r="A74" i="15"/>
  <c r="B73" i="15"/>
  <c r="A73" i="15"/>
  <c r="B72" i="15"/>
  <c r="A72" i="15"/>
  <c r="B71" i="15"/>
  <c r="A71" i="15"/>
  <c r="B70" i="15"/>
  <c r="A70" i="15"/>
  <c r="B69" i="15"/>
  <c r="A69" i="15"/>
  <c r="B68" i="15"/>
  <c r="A68" i="15"/>
  <c r="B67" i="15"/>
  <c r="A67" i="15"/>
  <c r="B66" i="15"/>
  <c r="A66" i="15"/>
  <c r="B65" i="15"/>
  <c r="A65" i="15"/>
  <c r="B64" i="15"/>
  <c r="A64" i="15"/>
  <c r="B63" i="15"/>
  <c r="A63" i="15"/>
  <c r="B62" i="15"/>
  <c r="A62" i="15"/>
  <c r="B61" i="15"/>
  <c r="A61" i="15"/>
  <c r="B60" i="15"/>
  <c r="A60" i="15"/>
  <c r="B59" i="15"/>
  <c r="A59" i="15"/>
  <c r="B58" i="15"/>
  <c r="A58" i="15"/>
  <c r="B57" i="15"/>
  <c r="A57" i="15"/>
  <c r="B56" i="15"/>
  <c r="A56" i="15"/>
  <c r="B55" i="15"/>
  <c r="A55" i="15"/>
  <c r="B54" i="15"/>
  <c r="A54" i="15"/>
  <c r="B53" i="15"/>
  <c r="A53" i="15"/>
  <c r="B52" i="19"/>
  <c r="A52" i="19"/>
  <c r="B51" i="19"/>
  <c r="A51" i="19"/>
  <c r="B50" i="19"/>
  <c r="A50" i="19"/>
  <c r="B49" i="19"/>
  <c r="A49" i="19"/>
  <c r="B48" i="19"/>
  <c r="A48" i="19"/>
  <c r="B47" i="19"/>
  <c r="A47" i="19"/>
  <c r="B46" i="19"/>
  <c r="A46" i="19"/>
  <c r="B45" i="19"/>
  <c r="A45" i="19"/>
  <c r="B44" i="19"/>
  <c r="A44" i="19"/>
  <c r="B43" i="19"/>
  <c r="A43" i="19"/>
  <c r="B42" i="19"/>
  <c r="A42" i="19"/>
  <c r="B41" i="19"/>
  <c r="A41" i="19"/>
  <c r="B40" i="19"/>
  <c r="A40" i="19"/>
  <c r="B39" i="19"/>
  <c r="A39" i="19"/>
  <c r="B38" i="19"/>
  <c r="A38" i="19"/>
  <c r="B37" i="19"/>
  <c r="A37" i="19"/>
  <c r="B36" i="19"/>
  <c r="A36" i="19"/>
  <c r="B35" i="19"/>
  <c r="A35" i="19"/>
  <c r="B34" i="19"/>
  <c r="A34" i="19"/>
  <c r="B33" i="19"/>
  <c r="A33" i="19"/>
  <c r="B32" i="19"/>
  <c r="A32" i="19"/>
  <c r="B31" i="19"/>
  <c r="A31" i="19"/>
  <c r="B30" i="19"/>
  <c r="A30" i="19"/>
  <c r="B29" i="19"/>
  <c r="A29" i="19"/>
  <c r="B28" i="19"/>
  <c r="A28" i="19"/>
  <c r="B27" i="19"/>
  <c r="A27" i="19"/>
  <c r="B26" i="19"/>
  <c r="A26" i="19"/>
  <c r="B25" i="19"/>
  <c r="A25" i="19"/>
  <c r="B24" i="19"/>
  <c r="A24" i="19"/>
  <c r="B23" i="19"/>
  <c r="A23" i="19"/>
  <c r="B22" i="19"/>
  <c r="A22" i="19"/>
  <c r="B21" i="19"/>
  <c r="A21" i="19"/>
  <c r="B20" i="19"/>
  <c r="A20" i="19"/>
  <c r="B19" i="19"/>
  <c r="A19" i="19"/>
  <c r="B18" i="19"/>
  <c r="A18" i="19"/>
  <c r="B17" i="19"/>
  <c r="A17" i="19"/>
  <c r="B16" i="19"/>
  <c r="A16" i="19"/>
  <c r="B15" i="19"/>
  <c r="A15" i="19"/>
  <c r="B14" i="19"/>
  <c r="A14" i="19"/>
  <c r="B13" i="19"/>
  <c r="A13" i="19"/>
  <c r="B12" i="19"/>
  <c r="A12" i="19"/>
  <c r="B11" i="19"/>
  <c r="A11" i="19"/>
  <c r="B10" i="19"/>
  <c r="A10" i="19"/>
  <c r="B9" i="19"/>
  <c r="A9" i="19"/>
  <c r="B8" i="19"/>
  <c r="A8" i="19"/>
  <c r="B7" i="19"/>
  <c r="A7" i="19"/>
  <c r="B6" i="19"/>
  <c r="A6" i="19"/>
  <c r="B5" i="19"/>
  <c r="A5" i="19"/>
  <c r="B4" i="19"/>
  <c r="A4" i="19"/>
  <c r="B3" i="19"/>
  <c r="A3" i="19"/>
  <c r="B52" i="17"/>
  <c r="A52" i="17"/>
  <c r="B51" i="17"/>
  <c r="A51" i="17"/>
  <c r="B50" i="17"/>
  <c r="A50" i="17"/>
  <c r="B49" i="17"/>
  <c r="A49" i="17"/>
  <c r="B48" i="17"/>
  <c r="A48" i="17"/>
  <c r="B47" i="17"/>
  <c r="A47" i="17"/>
  <c r="B46" i="17"/>
  <c r="A46" i="17"/>
  <c r="B45" i="17"/>
  <c r="A45" i="17"/>
  <c r="B44" i="17"/>
  <c r="A44" i="17"/>
  <c r="B43" i="17"/>
  <c r="A43" i="17"/>
  <c r="B42" i="17"/>
  <c r="A42" i="17"/>
  <c r="B41" i="17"/>
  <c r="A41" i="17"/>
  <c r="B40" i="17"/>
  <c r="A40" i="17"/>
  <c r="B39" i="17"/>
  <c r="A39" i="17"/>
  <c r="B38" i="17"/>
  <c r="A38" i="17"/>
  <c r="B37" i="17"/>
  <c r="A37" i="17"/>
  <c r="B36" i="17"/>
  <c r="A36" i="17"/>
  <c r="B35" i="17"/>
  <c r="A35" i="17"/>
  <c r="B34" i="17"/>
  <c r="A34" i="17"/>
  <c r="B33" i="17"/>
  <c r="A33" i="17"/>
  <c r="B32" i="17"/>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B4" i="17"/>
  <c r="A4" i="17"/>
  <c r="B3" i="17"/>
  <c r="A3" i="17"/>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B5" i="16"/>
  <c r="B4" i="16"/>
  <c r="B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E1" i="18"/>
  <c r="L42" i="21" l="1"/>
  <c r="M42" i="21"/>
  <c r="J42" i="21"/>
  <c r="I42" i="21"/>
  <c r="D4" i="21"/>
  <c r="L4" i="21"/>
  <c r="B4" i="21"/>
  <c r="K29" i="21"/>
  <c r="B393" i="21"/>
  <c r="B392" i="21"/>
  <c r="B391" i="21"/>
  <c r="B390" i="21"/>
  <c r="B389" i="21"/>
  <c r="B388" i="21"/>
  <c r="B387" i="21"/>
  <c r="B386" i="21"/>
  <c r="B385" i="21"/>
  <c r="B384" i="21"/>
  <c r="B383" i="21"/>
  <c r="B382" i="21"/>
  <c r="B381" i="21"/>
  <c r="B380" i="21"/>
  <c r="B379" i="21"/>
  <c r="B339" i="21"/>
  <c r="B338" i="21"/>
  <c r="B337" i="21"/>
  <c r="B336" i="21"/>
  <c r="B335" i="21"/>
  <c r="B334" i="21"/>
  <c r="B333" i="21"/>
  <c r="B332" i="21"/>
  <c r="B331" i="21"/>
  <c r="B330" i="21"/>
  <c r="B329" i="21"/>
  <c r="B328" i="21"/>
  <c r="B327" i="21"/>
  <c r="B326" i="21"/>
  <c r="B325" i="21"/>
  <c r="B285" i="21"/>
  <c r="B284" i="21"/>
  <c r="B283" i="21"/>
  <c r="B282" i="21"/>
  <c r="B281" i="21"/>
  <c r="B280" i="21"/>
  <c r="B279" i="21"/>
  <c r="B278" i="21"/>
  <c r="B277" i="21"/>
  <c r="B276" i="21"/>
  <c r="B275" i="21"/>
  <c r="B274" i="21"/>
  <c r="B273" i="21"/>
  <c r="B272" i="21"/>
  <c r="B271" i="21"/>
  <c r="Q95" i="21"/>
  <c r="P95" i="21"/>
  <c r="O95" i="21"/>
  <c r="N95" i="21"/>
  <c r="M95" i="21"/>
  <c r="L95" i="21"/>
  <c r="K95" i="21"/>
  <c r="J95" i="21"/>
  <c r="I95" i="21"/>
  <c r="Q94" i="21"/>
  <c r="P94" i="21"/>
  <c r="O94" i="21"/>
  <c r="N94" i="21"/>
  <c r="M94" i="21"/>
  <c r="L94" i="21"/>
  <c r="K94" i="21"/>
  <c r="J94" i="21"/>
  <c r="I94" i="21"/>
  <c r="Q93" i="21"/>
  <c r="P93" i="21"/>
  <c r="O93" i="21"/>
  <c r="N93" i="21"/>
  <c r="M93" i="21"/>
  <c r="L93" i="21"/>
  <c r="K93" i="21"/>
  <c r="J93" i="21"/>
  <c r="I93" i="21"/>
  <c r="Q92" i="21"/>
  <c r="P92" i="21"/>
  <c r="O92" i="21"/>
  <c r="N92" i="21"/>
  <c r="M92" i="21"/>
  <c r="L92" i="21"/>
  <c r="K92" i="21"/>
  <c r="J92" i="21"/>
  <c r="I92" i="21"/>
  <c r="Q91" i="21"/>
  <c r="P91" i="21"/>
  <c r="O91" i="21"/>
  <c r="N91" i="21"/>
  <c r="M91" i="21"/>
  <c r="L91" i="21"/>
  <c r="K91" i="21"/>
  <c r="J91" i="21"/>
  <c r="B175" i="21"/>
  <c r="B174" i="21"/>
  <c r="B173" i="21"/>
  <c r="B172" i="21"/>
  <c r="B171" i="21"/>
  <c r="B170" i="21"/>
  <c r="B169" i="21"/>
  <c r="B168" i="21"/>
  <c r="B167" i="21"/>
  <c r="B166" i="21"/>
  <c r="B165" i="21"/>
  <c r="B164" i="21"/>
  <c r="B163" i="21"/>
  <c r="B162" i="21"/>
  <c r="B161" i="21"/>
  <c r="B160" i="21"/>
  <c r="B159" i="21"/>
  <c r="B158" i="21"/>
  <c r="B157" i="21"/>
  <c r="B156" i="21"/>
  <c r="B155" i="21"/>
  <c r="B154" i="21"/>
  <c r="B153" i="21"/>
  <c r="B152" i="21"/>
  <c r="B151" i="21"/>
  <c r="B150" i="21"/>
  <c r="B149" i="21"/>
  <c r="B148" i="21"/>
  <c r="B147" i="21"/>
  <c r="B146" i="21"/>
  <c r="B145" i="21"/>
  <c r="B144" i="21"/>
  <c r="B143" i="21"/>
  <c r="B142" i="21"/>
  <c r="B141" i="21"/>
  <c r="B140" i="21"/>
  <c r="B139" i="21"/>
  <c r="B138" i="21"/>
  <c r="B137" i="21"/>
  <c r="B136" i="21"/>
  <c r="B135" i="21"/>
  <c r="B134" i="21"/>
  <c r="B133" i="21"/>
  <c r="B132" i="21"/>
  <c r="B131" i="21"/>
  <c r="B130" i="21"/>
  <c r="B129" i="21"/>
  <c r="B128" i="21"/>
  <c r="B127" i="21"/>
  <c r="B126" i="21"/>
  <c r="B125" i="21"/>
  <c r="B124" i="21"/>
  <c r="B123" i="21"/>
  <c r="B122" i="21"/>
  <c r="B121" i="21"/>
  <c r="B120" i="21"/>
  <c r="B119" i="21"/>
  <c r="B118" i="21"/>
  <c r="B117" i="21"/>
  <c r="B116" i="21"/>
  <c r="B115" i="21"/>
  <c r="B114" i="21"/>
  <c r="B113" i="21"/>
  <c r="B112" i="21"/>
  <c r="B111" i="21"/>
  <c r="B110" i="21"/>
  <c r="B109" i="21"/>
  <c r="B108" i="21"/>
  <c r="B107" i="21"/>
  <c r="B106" i="21"/>
  <c r="B105" i="21"/>
  <c r="B104" i="21"/>
  <c r="B103" i="21"/>
  <c r="B102" i="21"/>
  <c r="B101" i="21"/>
  <c r="B100" i="21"/>
  <c r="B99" i="21"/>
  <c r="B98" i="21"/>
  <c r="B97" i="21"/>
  <c r="B96" i="21"/>
  <c r="B95" i="21"/>
  <c r="Q46" i="21"/>
  <c r="P46" i="21"/>
  <c r="O46" i="21"/>
  <c r="N46" i="21"/>
  <c r="M46" i="21"/>
  <c r="L46" i="21"/>
  <c r="K46" i="21"/>
  <c r="J46" i="21"/>
  <c r="I46" i="21"/>
  <c r="Q45" i="21"/>
  <c r="P45" i="21"/>
  <c r="O45" i="21"/>
  <c r="N45" i="21"/>
  <c r="M45" i="21"/>
  <c r="L45" i="21"/>
  <c r="K45" i="21"/>
  <c r="J45" i="21"/>
  <c r="I45" i="21"/>
  <c r="Q44" i="21"/>
  <c r="P44" i="21"/>
  <c r="O44" i="21"/>
  <c r="N44" i="21"/>
  <c r="M44" i="21"/>
  <c r="L44" i="21"/>
  <c r="K44" i="21"/>
  <c r="J44" i="21"/>
  <c r="I44" i="21"/>
  <c r="Q43" i="21"/>
  <c r="P43" i="21"/>
  <c r="O43" i="21"/>
  <c r="N43" i="21"/>
  <c r="M43" i="21"/>
  <c r="L43" i="21"/>
  <c r="K43" i="21"/>
  <c r="J43" i="21"/>
  <c r="I43" i="21"/>
  <c r="Q42" i="21"/>
  <c r="P42" i="21"/>
  <c r="O42" i="21"/>
  <c r="N42" i="21"/>
  <c r="K42" i="21"/>
  <c r="Q41" i="21"/>
  <c r="P41" i="21"/>
  <c r="O41" i="21"/>
  <c r="N41" i="21"/>
  <c r="M41" i="21"/>
  <c r="L41" i="21"/>
  <c r="K41" i="21"/>
  <c r="J41" i="21"/>
  <c r="I41" i="21"/>
  <c r="Q40" i="21"/>
  <c r="P40" i="21"/>
  <c r="O40" i="21"/>
  <c r="N40" i="21"/>
  <c r="M40" i="21"/>
  <c r="L40" i="21"/>
  <c r="K40" i="21"/>
  <c r="J40" i="21"/>
  <c r="I40" i="21"/>
  <c r="Q39" i="21"/>
  <c r="P39" i="21"/>
  <c r="O39" i="21"/>
  <c r="N39" i="21"/>
  <c r="M39" i="21"/>
  <c r="L39" i="21"/>
  <c r="K39" i="21"/>
  <c r="J39" i="21"/>
  <c r="I39" i="21"/>
  <c r="Q38" i="21"/>
  <c r="P38" i="21"/>
  <c r="O38" i="21"/>
  <c r="N38" i="21"/>
  <c r="M38" i="21"/>
  <c r="L38" i="21"/>
  <c r="K38" i="21"/>
  <c r="J38" i="21"/>
  <c r="I38" i="21"/>
  <c r="B92" i="21"/>
  <c r="B85" i="21"/>
  <c r="B86" i="21"/>
  <c r="B87" i="21"/>
  <c r="B93" i="21"/>
  <c r="B91" i="21"/>
  <c r="B432" i="21"/>
  <c r="B431" i="21"/>
  <c r="B430" i="21"/>
  <c r="B429" i="21"/>
  <c r="B428" i="21"/>
  <c r="B427" i="21"/>
  <c r="B426" i="21"/>
  <c r="B425" i="21"/>
  <c r="B424" i="21"/>
  <c r="B423" i="21"/>
  <c r="B422" i="21"/>
  <c r="B421" i="21"/>
  <c r="B420" i="21"/>
  <c r="B419" i="21"/>
  <c r="B418" i="21"/>
  <c r="B417" i="21"/>
  <c r="B416" i="21"/>
  <c r="B415" i="21"/>
  <c r="B414" i="21"/>
  <c r="B413" i="21"/>
  <c r="B412" i="21"/>
  <c r="B378" i="21"/>
  <c r="B377" i="21"/>
  <c r="B376" i="21"/>
  <c r="B375" i="21"/>
  <c r="B374" i="21"/>
  <c r="B373" i="21"/>
  <c r="B372" i="21"/>
  <c r="B371" i="21"/>
  <c r="B370" i="21"/>
  <c r="B369" i="21"/>
  <c r="B368" i="21"/>
  <c r="B367" i="21"/>
  <c r="B366" i="21"/>
  <c r="B365" i="21"/>
  <c r="B364" i="21"/>
  <c r="B363" i="21"/>
  <c r="B362" i="21"/>
  <c r="B361" i="21"/>
  <c r="B360" i="21"/>
  <c r="B359" i="21"/>
  <c r="B358" i="21"/>
  <c r="B324" i="21"/>
  <c r="B323" i="21"/>
  <c r="B322" i="21"/>
  <c r="B321" i="21"/>
  <c r="B320" i="21"/>
  <c r="B319" i="21"/>
  <c r="B318" i="21"/>
  <c r="B317" i="21"/>
  <c r="B316" i="21"/>
  <c r="B315" i="21"/>
  <c r="B314" i="21"/>
  <c r="B313" i="21"/>
  <c r="B312" i="21"/>
  <c r="B311" i="21"/>
  <c r="B310" i="21"/>
  <c r="B309" i="21"/>
  <c r="B308" i="21"/>
  <c r="B307" i="21"/>
  <c r="B306" i="21"/>
  <c r="B305" i="21"/>
  <c r="B304" i="21"/>
  <c r="Q120" i="21"/>
  <c r="P120" i="21"/>
  <c r="O120" i="21"/>
  <c r="N120" i="21"/>
  <c r="M120" i="21"/>
  <c r="L120" i="21"/>
  <c r="K120" i="21"/>
  <c r="J120" i="21"/>
  <c r="I120" i="21"/>
  <c r="Q119" i="21"/>
  <c r="P119" i="21"/>
  <c r="O119" i="21"/>
  <c r="N119" i="21"/>
  <c r="M119" i="21"/>
  <c r="L119" i="21"/>
  <c r="K119" i="21"/>
  <c r="J119" i="21"/>
  <c r="I119" i="21"/>
  <c r="Q118" i="21"/>
  <c r="P118" i="21"/>
  <c r="O118" i="21"/>
  <c r="N118" i="21"/>
  <c r="M118" i="21"/>
  <c r="L118" i="21"/>
  <c r="K118" i="21"/>
  <c r="J118" i="21"/>
  <c r="I118" i="21"/>
  <c r="Q117" i="21"/>
  <c r="P117" i="21"/>
  <c r="O117" i="21"/>
  <c r="N117" i="21"/>
  <c r="M117" i="21"/>
  <c r="L117" i="21"/>
  <c r="K117" i="21"/>
  <c r="J117" i="21"/>
  <c r="I117" i="21"/>
  <c r="Q116" i="21"/>
  <c r="P116" i="21"/>
  <c r="O116" i="21"/>
  <c r="N116" i="21"/>
  <c r="M116" i="21"/>
  <c r="L116" i="21"/>
  <c r="K116" i="21"/>
  <c r="J116" i="21"/>
  <c r="I116" i="21"/>
  <c r="Q115" i="21"/>
  <c r="P115" i="21"/>
  <c r="O115" i="21"/>
  <c r="N115" i="21"/>
  <c r="M115" i="21"/>
  <c r="L115" i="21"/>
  <c r="K115" i="21"/>
  <c r="J115" i="21"/>
  <c r="I115" i="21"/>
  <c r="Q114" i="21"/>
  <c r="P114" i="21"/>
  <c r="O114" i="21"/>
  <c r="N114" i="21"/>
  <c r="M114" i="21"/>
  <c r="L114" i="21"/>
  <c r="K114" i="21"/>
  <c r="J114" i="21"/>
  <c r="I114" i="21"/>
  <c r="I91" i="21"/>
  <c r="B411" i="21"/>
  <c r="B410" i="21"/>
  <c r="B409" i="21"/>
  <c r="B408" i="21"/>
  <c r="B407" i="21"/>
  <c r="B406" i="21"/>
  <c r="B405" i="21"/>
  <c r="B404" i="21"/>
  <c r="B403" i="21"/>
  <c r="B402" i="21"/>
  <c r="B401" i="21"/>
  <c r="B400" i="21"/>
  <c r="B399" i="21"/>
  <c r="B398" i="21"/>
  <c r="B397" i="21"/>
  <c r="B396" i="21"/>
  <c r="B395" i="21"/>
  <c r="B394" i="21"/>
  <c r="B357" i="21"/>
  <c r="B356" i="21"/>
  <c r="B355" i="21"/>
  <c r="B354" i="21"/>
  <c r="B353" i="21"/>
  <c r="B352" i="21"/>
  <c r="B351" i="21"/>
  <c r="B350" i="21"/>
  <c r="B349" i="21"/>
  <c r="B348" i="21"/>
  <c r="B347" i="21"/>
  <c r="B346" i="21"/>
  <c r="B345" i="21"/>
  <c r="B344" i="21"/>
  <c r="B343" i="21"/>
  <c r="B342" i="21"/>
  <c r="B341" i="21"/>
  <c r="B340" i="21"/>
  <c r="B303" i="21"/>
  <c r="B302" i="21"/>
  <c r="B301" i="21"/>
  <c r="B300" i="21"/>
  <c r="B299" i="21"/>
  <c r="B298" i="21"/>
  <c r="B297" i="21"/>
  <c r="B296" i="21"/>
  <c r="B295" i="21"/>
  <c r="B294" i="21"/>
  <c r="B293" i="21"/>
  <c r="B292" i="21"/>
  <c r="B291" i="21"/>
  <c r="B290" i="21"/>
  <c r="B289" i="21"/>
  <c r="B288" i="21"/>
  <c r="B287" i="21"/>
  <c r="B286" i="21"/>
  <c r="Q107" i="21"/>
  <c r="P107" i="21"/>
  <c r="O107" i="21"/>
  <c r="N107" i="21"/>
  <c r="M107" i="21"/>
  <c r="L107" i="21"/>
  <c r="K107" i="21"/>
  <c r="J107" i="21"/>
  <c r="I107" i="21"/>
  <c r="Q106" i="21"/>
  <c r="P106" i="21"/>
  <c r="O106" i="21"/>
  <c r="N106" i="21"/>
  <c r="M106" i="21"/>
  <c r="L106" i="21"/>
  <c r="K106" i="21"/>
  <c r="J106" i="21"/>
  <c r="I106" i="21"/>
  <c r="Q105" i="21"/>
  <c r="P105" i="21"/>
  <c r="O105" i="21"/>
  <c r="N105" i="21"/>
  <c r="M105" i="21"/>
  <c r="L105" i="21"/>
  <c r="K105" i="21"/>
  <c r="J105" i="21"/>
  <c r="I105" i="21"/>
  <c r="Q104" i="21"/>
  <c r="P104" i="21"/>
  <c r="O104" i="21"/>
  <c r="N104" i="21"/>
  <c r="M104" i="21"/>
  <c r="L104" i="21"/>
  <c r="K104" i="21"/>
  <c r="J104" i="21"/>
  <c r="I104" i="21"/>
  <c r="Q103" i="21"/>
  <c r="P103" i="21"/>
  <c r="O103" i="21"/>
  <c r="N103" i="21"/>
  <c r="M103" i="21"/>
  <c r="L103" i="21"/>
  <c r="K103" i="21"/>
  <c r="J103" i="21"/>
  <c r="I103" i="21"/>
  <c r="Q102" i="21"/>
  <c r="P102" i="21"/>
  <c r="O102" i="21"/>
  <c r="N102" i="21"/>
  <c r="M102" i="21"/>
  <c r="L102" i="21"/>
  <c r="K102" i="21"/>
  <c r="J102" i="21"/>
  <c r="I102" i="21"/>
  <c r="I84" i="21" l="1"/>
  <c r="I83" i="21"/>
  <c r="J82" i="21"/>
  <c r="J84" i="21"/>
  <c r="K82" i="21"/>
  <c r="J83" i="21"/>
  <c r="I82" i="21"/>
  <c r="K83" i="21"/>
  <c r="K84" i="21"/>
  <c r="B183" i="21"/>
</calcChain>
</file>

<file path=xl/sharedStrings.xml><?xml version="1.0" encoding="utf-8"?>
<sst xmlns="http://schemas.openxmlformats.org/spreadsheetml/2006/main" count="1597" uniqueCount="834">
  <si>
    <t>Referred Students</t>
  </si>
  <si>
    <t>Last Name, First Name</t>
  </si>
  <si>
    <t>BHWorks Screened</t>
  </si>
  <si>
    <t>Yes</t>
  </si>
  <si>
    <t>Roster</t>
  </si>
  <si>
    <t>Date of Birth</t>
  </si>
  <si>
    <t>Age</t>
  </si>
  <si>
    <t>Grade</t>
  </si>
  <si>
    <t>Gender</t>
  </si>
  <si>
    <t>Race</t>
  </si>
  <si>
    <t>District/School</t>
  </si>
  <si>
    <t>Parent Meetings</t>
  </si>
  <si>
    <t>Consultations with School Staff</t>
  </si>
  <si>
    <t>Number of Student Meetings</t>
  </si>
  <si>
    <t>Female</t>
  </si>
  <si>
    <t>White</t>
  </si>
  <si>
    <t>NESD-North East High School</t>
  </si>
  <si>
    <t>Male</t>
  </si>
  <si>
    <t>Multi-Racial</t>
  </si>
  <si>
    <t>Total number of SAP team meetings liaisons:</t>
  </si>
  <si>
    <t>August</t>
  </si>
  <si>
    <t>September</t>
  </si>
  <si>
    <t>October</t>
  </si>
  <si>
    <t>November</t>
  </si>
  <si>
    <t>December</t>
  </si>
  <si>
    <t>January</t>
  </si>
  <si>
    <t>February</t>
  </si>
  <si>
    <t>March</t>
  </si>
  <si>
    <t>April</t>
  </si>
  <si>
    <t>May</t>
  </si>
  <si>
    <t>June</t>
  </si>
  <si>
    <t>July</t>
  </si>
  <si>
    <t>Suicide</t>
  </si>
  <si>
    <t>Student's Name</t>
  </si>
  <si>
    <t>Suicide Screening Assesment Date</t>
  </si>
  <si>
    <t>Current or Recent Suicide Ideation current or recent (within the week prior to screen/assessment)</t>
  </si>
  <si>
    <t>Past History of Suicide Ideation (suicide ideation prior to the past week)</t>
  </si>
  <si>
    <t>Ever reported having a suicide attempt</t>
  </si>
  <si>
    <t>No</t>
  </si>
  <si>
    <t>Student Info and Screening</t>
  </si>
  <si>
    <t>Recommendation 1</t>
  </si>
  <si>
    <t>Reason for Not Accessing Service</t>
  </si>
  <si>
    <t>Recommendation 2</t>
  </si>
  <si>
    <t>Recommendation 3</t>
  </si>
  <si>
    <t>Recommendation 4</t>
  </si>
  <si>
    <t>Recommendation 5</t>
  </si>
  <si>
    <t>Recommendation 6</t>
  </si>
  <si>
    <t>Recommendation 7</t>
  </si>
  <si>
    <t>Recommendation 8</t>
  </si>
  <si>
    <t>Recommendation 9</t>
  </si>
  <si>
    <t>Screening Results: Drug &amp; Alcohol Assessment 1</t>
  </si>
  <si>
    <t>Service Accessed 1</t>
  </si>
  <si>
    <t>Insurance Issues/Inability to pay for service 1</t>
  </si>
  <si>
    <t>Lack of Transportation 1</t>
  </si>
  <si>
    <t>Student Refusal 1</t>
  </si>
  <si>
    <t>Parent/Guardian Inaction or Refusal 1</t>
  </si>
  <si>
    <t>Client Waiting List 1</t>
  </si>
  <si>
    <t>Reason Unknown 1</t>
  </si>
  <si>
    <t>Other 1</t>
  </si>
  <si>
    <t>Screening Results: Mental Health Assessment 2</t>
  </si>
  <si>
    <t>Service Accessed 2</t>
  </si>
  <si>
    <t>Insurance Issues/Inability to pay for service 2</t>
  </si>
  <si>
    <t>Lack of Transportation 2</t>
  </si>
  <si>
    <t>Student Refusal 2</t>
  </si>
  <si>
    <t>Parent/Guardian Inaction or Refusal 2</t>
  </si>
  <si>
    <t>Client Waiting List 2</t>
  </si>
  <si>
    <t>Reason Unknown 2</t>
  </si>
  <si>
    <t>Other 2</t>
  </si>
  <si>
    <t>Screening Results: Co-occurring Assessment 3</t>
  </si>
  <si>
    <t>Service Accessed 3</t>
  </si>
  <si>
    <t>Insurance Issues/Inability to pay for service 3</t>
  </si>
  <si>
    <t>Lack of Transportation 3</t>
  </si>
  <si>
    <t>Student Refusal 3</t>
  </si>
  <si>
    <t>Parent/Guardian Inaction or Refusal 3</t>
  </si>
  <si>
    <t>Client Waiting List 3</t>
  </si>
  <si>
    <t>Reason Unknown 3</t>
  </si>
  <si>
    <t>Other 3</t>
  </si>
  <si>
    <t>Screening Results: In-school support services (e.g. academic supports, one-to-one or group supports by school staff) 4</t>
  </si>
  <si>
    <t>Service Accessed 4</t>
  </si>
  <si>
    <t>Insurance Issues/Inability to pay for service 4</t>
  </si>
  <si>
    <t>Lack of Transportation 4</t>
  </si>
  <si>
    <t>Student Refusal 4</t>
  </si>
  <si>
    <t>Parent/Guardian Inaction or Refusal 4</t>
  </si>
  <si>
    <t>Client Waiting List 4</t>
  </si>
  <si>
    <t>Reason Unknown 4</t>
  </si>
  <si>
    <t>Other 4</t>
  </si>
  <si>
    <t>Screening Results: Liaison support services (e.g. non-treatment individual/group supports) 5</t>
  </si>
  <si>
    <t>Service Accessed 5</t>
  </si>
  <si>
    <t>Insurance Issues/Inability to pay for service 5</t>
  </si>
  <si>
    <t>Lack of Transportation 5</t>
  </si>
  <si>
    <t>Student Refusal 5</t>
  </si>
  <si>
    <t>Parent/Guardian Inaction or Refusal 5</t>
  </si>
  <si>
    <t>Client Waiting List 5</t>
  </si>
  <si>
    <t>Reason Unknown 5</t>
  </si>
  <si>
    <t>Other 5</t>
  </si>
  <si>
    <t>Screening Results: Community-based support services (e.g. Counseling, Big Brothers/ Sisters, Support Groups etc.) 6</t>
  </si>
  <si>
    <t>Service Accessed 6</t>
  </si>
  <si>
    <t>Insurance Issues/Inability to pay for service 6</t>
  </si>
  <si>
    <t>Lack of Transportation 6</t>
  </si>
  <si>
    <t>Student Refusal 6</t>
  </si>
  <si>
    <t>Parent/Guardian Inaction or Refusal 6</t>
  </si>
  <si>
    <t>Client Waiting List 6</t>
  </si>
  <si>
    <t>Reason Unknown 6</t>
  </si>
  <si>
    <t>Other 6</t>
  </si>
  <si>
    <t>Screening Results: Crisis Intervention Services 7</t>
  </si>
  <si>
    <t>Service Accessed 7</t>
  </si>
  <si>
    <t>Insurance Issues/Inability to pay for service 7</t>
  </si>
  <si>
    <t>Lack of Transportation 7</t>
  </si>
  <si>
    <t>Student Refusal 7</t>
  </si>
  <si>
    <t>Parent/Guardian Inaction or Refusal 7</t>
  </si>
  <si>
    <t>Client Waiting List 7</t>
  </si>
  <si>
    <t>Reason Unknown 7</t>
  </si>
  <si>
    <t>Other 7</t>
  </si>
  <si>
    <t>Screening Results: Medical/physical health services 8</t>
  </si>
  <si>
    <t>Service Accessed 8</t>
  </si>
  <si>
    <t>Insurance Issues/Inability to pay for service 8</t>
  </si>
  <si>
    <t>Lack of Transportation 8</t>
  </si>
  <si>
    <t>Student Refusal 8</t>
  </si>
  <si>
    <t>Parent/Guardian Inaction or Refusal 8</t>
  </si>
  <si>
    <t>Client Waiting List 8</t>
  </si>
  <si>
    <t>Reason Unknown 8</t>
  </si>
  <si>
    <t>Other 8</t>
  </si>
  <si>
    <t>Screening Results: Other Recommendation 9</t>
  </si>
  <si>
    <t>Name of Other Recommendation 9</t>
  </si>
  <si>
    <t>Service Accessed 9</t>
  </si>
  <si>
    <t>Insurance Issues/Inability to pay for service 9</t>
  </si>
  <si>
    <t>Lack of Transportation 9</t>
  </si>
  <si>
    <t>Student Refusal 9</t>
  </si>
  <si>
    <t>Parent/Guardian Inaction or Refusal 9</t>
  </si>
  <si>
    <t>Client Waiting List 9</t>
  </si>
  <si>
    <t>Reason Unknown 9</t>
  </si>
  <si>
    <t>Other Reason 9</t>
  </si>
  <si>
    <t>No recommendation</t>
  </si>
  <si>
    <t>Start new service</t>
  </si>
  <si>
    <t>Don’t Know</t>
  </si>
  <si>
    <t>Continue with existing treatment services</t>
  </si>
  <si>
    <t>Screening Results: School Supports (non-treatment) 1</t>
  </si>
  <si>
    <t>Screening Results: Liaison Support Services (non-treatment) 2</t>
  </si>
  <si>
    <t>Screening Results: Community Based or Other Support Services (non-treatment) 3</t>
  </si>
  <si>
    <t>Name of Other Support Service 3</t>
  </si>
  <si>
    <t>Screening Results: Referral to Crisis Intervention Services 4</t>
  </si>
  <si>
    <t>Screening Results: Other Assessment 5</t>
  </si>
  <si>
    <t>Name of Other Assessment 5</t>
  </si>
  <si>
    <t>Other Reason 5</t>
  </si>
  <si>
    <t>Screening Results: Psychiatric Outpatient – School Based 1</t>
  </si>
  <si>
    <t>Screening Results: Psychiatric Outpatient – Community Based 2</t>
  </si>
  <si>
    <t>Screening Results: Psychiatric Partial Hospitalization Program 3</t>
  </si>
  <si>
    <t>Screening Results: Family-based Mental Health Services (FBMHS) 4</t>
  </si>
  <si>
    <t>Screening Results: Intensive Behavioral Health Services (IBHS) 5</t>
  </si>
  <si>
    <t>Screening Results: Psychiatric Residential Treatment Facility 6</t>
  </si>
  <si>
    <t>Screening Results: Psychiatric Inpatient Hospitalization 7</t>
  </si>
  <si>
    <t>Other Reason 7</t>
  </si>
  <si>
    <t>Screening Results: D/A Early Intervention (ASAM .5) 1</t>
  </si>
  <si>
    <t>Screening Results: D/A Outpatient (ASAM Level 1) 2</t>
  </si>
  <si>
    <t>Screening Results: D/A Intensive Outpatient (ASAM 2.1) 3</t>
  </si>
  <si>
    <t>Screening Results: D/A Partial Hospitalization (ASAM 2.5) 4</t>
  </si>
  <si>
    <t>Screening Results: D/A Residential/Inpatient (ASAM Level 3) 5</t>
  </si>
  <si>
    <t>Screening Results: D/A Intensive Inpatient (ASAM Level 4) 6</t>
  </si>
  <si>
    <t>Form Question Name</t>
  </si>
  <si>
    <t>CALCULATION</t>
  </si>
  <si>
    <t>Data Column Name(s)</t>
  </si>
  <si>
    <t>Data Type/Acceptable Values</t>
  </si>
  <si>
    <t>Conditions/Validation</t>
  </si>
  <si>
    <t>SAP LIAISON ANNUAL REPORT (PDF to fill)</t>
  </si>
  <si>
    <t>Liaison Information</t>
  </si>
  <si>
    <r>
      <rPr>
        <b/>
        <sz val="12"/>
        <color theme="1"/>
        <rFont val="Calibri"/>
        <family val="2"/>
        <scheme val="minor"/>
      </rPr>
      <t xml:space="preserve">Section Synopsis - </t>
    </r>
    <r>
      <rPr>
        <sz val="12"/>
        <color theme="1"/>
        <rFont val="Calibri"/>
        <family val="2"/>
        <scheme val="minor"/>
      </rPr>
      <t xml:space="preserve">Captures information related to meetings with SAP teams, parents/guardians, school staff
</t>
    </r>
    <r>
      <rPr>
        <sz val="11"/>
        <color rgb="FFFF0000"/>
        <rFont val="Calibri"/>
        <family val="2"/>
        <scheme val="minor"/>
      </rPr>
      <t>●</t>
    </r>
    <r>
      <rPr>
        <sz val="11"/>
        <color theme="1"/>
        <rFont val="Calibri"/>
        <family val="2"/>
        <scheme val="minor"/>
      </rPr>
      <t xml:space="preserve"> All data elements in section are required regardless of services provided by liaison.  
</t>
    </r>
    <r>
      <rPr>
        <sz val="12"/>
        <color rgb="FFFF0000"/>
        <rFont val="Calibri"/>
        <family val="2"/>
        <scheme val="minor"/>
      </rPr>
      <t>●</t>
    </r>
    <r>
      <rPr>
        <sz val="12"/>
        <color theme="1"/>
        <rFont val="Calibri"/>
        <family val="2"/>
        <scheme val="minor"/>
      </rPr>
      <t xml:space="preserve"> </t>
    </r>
    <r>
      <rPr>
        <b/>
        <sz val="12"/>
        <color theme="1"/>
        <rFont val="Calibri"/>
        <family val="2"/>
        <scheme val="minor"/>
      </rPr>
      <t>NULL</t>
    </r>
    <r>
      <rPr>
        <sz val="12"/>
        <color theme="1"/>
        <rFont val="Calibri"/>
        <family val="2"/>
        <scheme val="minor"/>
      </rPr>
      <t xml:space="preserve"> will not an accepted.  Enter </t>
    </r>
    <r>
      <rPr>
        <b/>
        <sz val="12"/>
        <color theme="1"/>
        <rFont val="Calibri"/>
        <family val="2"/>
        <scheme val="minor"/>
      </rPr>
      <t>0</t>
    </r>
    <r>
      <rPr>
        <sz val="12"/>
        <color theme="1"/>
        <rFont val="Calibri"/>
        <family val="2"/>
        <scheme val="minor"/>
      </rPr>
      <t xml:space="preserve"> to indicate no data for element</t>
    </r>
  </si>
  <si>
    <t>PAGE 1</t>
  </si>
  <si>
    <t>Enter the total number of SAP team meetings liaisons participated in during the reporting year</t>
  </si>
  <si>
    <t>Liaison_SAP_Team_Meetings</t>
  </si>
  <si>
    <r>
      <rPr>
        <sz val="10"/>
        <color rgb="FFFF0000"/>
        <rFont val="Calibri"/>
        <family val="2"/>
        <scheme val="minor"/>
      </rPr>
      <t xml:space="preserve">● </t>
    </r>
    <r>
      <rPr>
        <sz val="10"/>
        <color theme="1"/>
        <rFont val="Calibri"/>
        <family val="2"/>
        <scheme val="minor"/>
      </rPr>
      <t xml:space="preserve">Mandatory.  Enter </t>
    </r>
    <r>
      <rPr>
        <b/>
        <sz val="10"/>
        <color theme="1"/>
        <rFont val="Calibri"/>
        <family val="2"/>
        <scheme val="minor"/>
      </rPr>
      <t>0</t>
    </r>
    <r>
      <rPr>
        <sz val="10"/>
        <color theme="1"/>
        <rFont val="Calibri"/>
        <family val="2"/>
        <scheme val="minor"/>
      </rPr>
      <t xml:space="preserve"> if no data</t>
    </r>
  </si>
  <si>
    <t>1. SAP team meetings:</t>
  </si>
  <si>
    <t xml:space="preserve">Enter the total number of SAP parent meetings/conversations liaisons participated in during the reporting year: </t>
  </si>
  <si>
    <t>Liaison_SAP_Parent_Meetings</t>
  </si>
  <si>
    <r>
      <rPr>
        <sz val="10"/>
        <color rgb="FFFF0000"/>
        <rFont val="Calibri"/>
        <family val="2"/>
        <scheme val="minor"/>
      </rPr>
      <t>●</t>
    </r>
    <r>
      <rPr>
        <sz val="10"/>
        <color theme="1"/>
        <rFont val="Calibri"/>
        <family val="2"/>
        <scheme val="minor"/>
      </rPr>
      <t xml:space="preserve"> Mandatory.  Enter </t>
    </r>
    <r>
      <rPr>
        <b/>
        <sz val="10"/>
        <color theme="1"/>
        <rFont val="Calibri"/>
        <family val="2"/>
        <scheme val="minor"/>
      </rPr>
      <t>0</t>
    </r>
    <r>
      <rPr>
        <sz val="10"/>
        <color theme="1"/>
        <rFont val="Calibri"/>
        <family val="2"/>
        <scheme val="minor"/>
      </rPr>
      <t xml:space="preserve"> if no data</t>
    </r>
  </si>
  <si>
    <t>2. SAP parent meetings/conversations:</t>
  </si>
  <si>
    <t>Enter the total number of consultations with school staff about SAP referred students liaisons participated in during the reporting year</t>
  </si>
  <si>
    <t>Liaison_SAP_Consultations</t>
  </si>
  <si>
    <t>Integer (0 - 99,999)</t>
  </si>
  <si>
    <t>3. Consultations with school staff about SAP referred students:</t>
  </si>
  <si>
    <t>Suicide Prevention Intervention</t>
  </si>
  <si>
    <r>
      <rPr>
        <b/>
        <sz val="12"/>
        <color theme="1"/>
        <rFont val="Calibri"/>
        <family val="2"/>
        <scheme val="minor"/>
      </rPr>
      <t xml:space="preserve">Section Synopsis - </t>
    </r>
    <r>
      <rPr>
        <sz val="12"/>
        <color theme="1"/>
        <rFont val="Calibri"/>
        <family val="2"/>
        <scheme val="minor"/>
      </rPr>
      <t xml:space="preserve">Captures suicide data for the district for the year
</t>
    </r>
    <r>
      <rPr>
        <sz val="11"/>
        <color rgb="FFFF0000"/>
        <rFont val="Calibri"/>
        <family val="2"/>
        <scheme val="minor"/>
      </rPr>
      <t>●</t>
    </r>
    <r>
      <rPr>
        <sz val="11"/>
        <color theme="1"/>
        <rFont val="Calibri"/>
        <family val="2"/>
        <scheme val="minor"/>
      </rPr>
      <t xml:space="preserve"> All data elements in section are required regardless of services provided by liaison.  
</t>
    </r>
    <r>
      <rPr>
        <sz val="11"/>
        <color rgb="FFFF0000"/>
        <rFont val="Calibri"/>
        <family val="2"/>
        <scheme val="minor"/>
      </rPr>
      <t>●</t>
    </r>
    <r>
      <rPr>
        <sz val="11"/>
        <color theme="1"/>
        <rFont val="Calibri"/>
        <family val="2"/>
        <scheme val="minor"/>
      </rPr>
      <t xml:space="preserve"> </t>
    </r>
    <r>
      <rPr>
        <b/>
        <sz val="11"/>
        <color theme="1"/>
        <rFont val="Calibri"/>
        <family val="2"/>
        <scheme val="minor"/>
      </rPr>
      <t>NULL</t>
    </r>
    <r>
      <rPr>
        <sz val="11"/>
        <color theme="1"/>
        <rFont val="Calibri"/>
        <family val="2"/>
        <scheme val="minor"/>
      </rPr>
      <t xml:space="preserve"> will not an accepted.  Enter </t>
    </r>
    <r>
      <rPr>
        <b/>
        <sz val="11"/>
        <color theme="1"/>
        <rFont val="Calibri"/>
        <family val="2"/>
        <scheme val="minor"/>
      </rPr>
      <t>0</t>
    </r>
    <r>
      <rPr>
        <sz val="11"/>
        <color theme="1"/>
        <rFont val="Calibri"/>
        <family val="2"/>
        <scheme val="minor"/>
      </rPr>
      <t xml:space="preserve"> to indicate no data for element</t>
    </r>
  </si>
  <si>
    <t>1. Enter the total number of students screened or assessed for suicide risk:</t>
  </si>
  <si>
    <t xml:space="preserve">Enter the total number of students screened or assessed for suicide risk: </t>
  </si>
  <si>
    <t>Suicide_Screened_Or_Assessed</t>
  </si>
  <si>
    <r>
      <rPr>
        <sz val="10"/>
        <color rgb="FFFF0000"/>
        <rFont val="Calibri"/>
        <family val="2"/>
        <scheme val="minor"/>
      </rPr>
      <t>●</t>
    </r>
    <r>
      <rPr>
        <sz val="10"/>
        <color theme="1"/>
        <rFont val="Calibri"/>
        <family val="2"/>
        <scheme val="minor"/>
      </rPr>
      <t xml:space="preserve"> Value must be equal or larger than "</t>
    </r>
    <r>
      <rPr>
        <b/>
        <sz val="10"/>
        <color theme="1"/>
        <rFont val="Calibri"/>
        <family val="2"/>
        <scheme val="minor"/>
      </rPr>
      <t>Suicide_Current_Past_Ideation</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Value must be equal or larger than "</t>
    </r>
    <r>
      <rPr>
        <b/>
        <sz val="10"/>
        <color theme="1"/>
        <rFont val="Calibri"/>
        <family val="2"/>
        <scheme val="minor"/>
      </rPr>
      <t>Suicide_Attemp</t>
    </r>
    <r>
      <rPr>
        <sz val="10"/>
        <color theme="1"/>
        <rFont val="Calibri"/>
        <family val="2"/>
        <scheme val="minor"/>
      </rPr>
      <t>t"</t>
    </r>
  </si>
  <si>
    <t>2. Of those students screened/assessed for suicide risk, enter the number of students that reported any current or past suicide ideation:</t>
  </si>
  <si>
    <t>Of those students screened/assessed for suicide risk, enter the number of students that reported any current or past suicide ideation</t>
  </si>
  <si>
    <t>Suicide_Current_Past_Ideation</t>
  </si>
  <si>
    <r>
      <rPr>
        <sz val="10"/>
        <color rgb="FFFF0000"/>
        <rFont val="Calibri"/>
        <family val="2"/>
        <scheme val="minor"/>
      </rPr>
      <t>●</t>
    </r>
    <r>
      <rPr>
        <sz val="10"/>
        <color theme="1"/>
        <rFont val="Calibri"/>
        <family val="2"/>
        <scheme val="minor"/>
      </rPr>
      <t xml:space="preserve"> Value must be equal or less than </t>
    </r>
    <r>
      <rPr>
        <b/>
        <sz val="10"/>
        <color theme="1"/>
        <rFont val="Calibri"/>
        <family val="2"/>
        <scheme val="minor"/>
      </rPr>
      <t>Suicide_Screened_Or_Assessed</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Value must be equal or larger than </t>
    </r>
    <r>
      <rPr>
        <b/>
        <sz val="10"/>
        <color theme="1"/>
        <rFont val="Calibri"/>
        <family val="2"/>
        <scheme val="minor"/>
      </rPr>
      <t>Suicide_Ideation_Recent</t>
    </r>
    <r>
      <rPr>
        <sz val="10"/>
        <color theme="1"/>
        <rFont val="Calibri"/>
        <family val="2"/>
        <scheme val="minor"/>
      </rPr>
      <t xml:space="preserve">
</t>
    </r>
    <r>
      <rPr>
        <sz val="10"/>
        <color rgb="FFFF0000"/>
        <rFont val="Calibri"/>
        <family val="2"/>
        <scheme val="minor"/>
      </rPr>
      <t xml:space="preserve">● </t>
    </r>
    <r>
      <rPr>
        <sz val="10"/>
        <color theme="1"/>
        <rFont val="Calibri"/>
        <family val="2"/>
        <scheme val="minor"/>
      </rPr>
      <t xml:space="preserve">Value must be equal or larger than than </t>
    </r>
    <r>
      <rPr>
        <b/>
        <sz val="10"/>
        <color theme="1"/>
        <rFont val="Calibri"/>
        <family val="2"/>
        <scheme val="minor"/>
      </rPr>
      <t>Suicide_Ideation_Past_History</t>
    </r>
  </si>
  <si>
    <t>3. Enter the number of students that reported ONLY current or recent suicide ideation:</t>
  </si>
  <si>
    <t xml:space="preserve">Enter the number of students that reported ONLY current or recent suicide ideation (within the week prior to screen/assessment: </t>
  </si>
  <si>
    <t>Suicide_Ideation_Recent</t>
  </si>
  <si>
    <r>
      <rPr>
        <sz val="10"/>
        <color rgb="FFFF0000"/>
        <rFont val="Calibri"/>
        <family val="2"/>
        <scheme val="minor"/>
      </rPr>
      <t>●</t>
    </r>
    <r>
      <rPr>
        <sz val="10"/>
        <color theme="1"/>
        <rFont val="Calibri"/>
        <family val="2"/>
        <scheme val="minor"/>
      </rPr>
      <t xml:space="preserve"> </t>
    </r>
    <r>
      <rPr>
        <b/>
        <sz val="10"/>
        <color theme="1"/>
        <rFont val="Calibri"/>
        <family val="2"/>
        <scheme val="minor"/>
      </rPr>
      <t>Suicide_Ideation_Recent</t>
    </r>
    <r>
      <rPr>
        <sz val="10"/>
        <color theme="1"/>
        <rFont val="Calibri"/>
        <family val="2"/>
        <scheme val="minor"/>
      </rPr>
      <t xml:space="preserve"> must be equal or less than "</t>
    </r>
    <r>
      <rPr>
        <b/>
        <sz val="10"/>
        <color theme="1"/>
        <rFont val="Calibri"/>
        <family val="2"/>
        <scheme val="minor"/>
      </rPr>
      <t>Suicide_Current_Past_Ideation</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
    </r>
    <r>
      <rPr>
        <b/>
        <sz val="10"/>
        <color theme="1"/>
        <rFont val="Calibri"/>
        <family val="2"/>
        <scheme val="minor"/>
      </rPr>
      <t>Suicide_Ideation_Past_History</t>
    </r>
    <r>
      <rPr>
        <sz val="10"/>
        <color theme="1"/>
        <rFont val="Calibri"/>
        <family val="2"/>
        <scheme val="minor"/>
      </rPr>
      <t xml:space="preserve"> must be equal or less than "</t>
    </r>
    <r>
      <rPr>
        <b/>
        <sz val="10"/>
        <color theme="1"/>
        <rFont val="Calibri"/>
        <family val="2"/>
        <scheme val="minor"/>
      </rPr>
      <t>Suicide_Current_Past_Ideation</t>
    </r>
    <r>
      <rPr>
        <sz val="10"/>
        <color theme="1"/>
        <rFont val="Calibri"/>
        <family val="2"/>
        <scheme val="minor"/>
      </rPr>
      <t xml:space="preserve">"
</t>
    </r>
    <r>
      <rPr>
        <b/>
        <sz val="11"/>
        <color theme="1"/>
        <rFont val="Calibri"/>
        <family val="2"/>
        <scheme val="minor"/>
      </rPr>
      <t>GROUP CONDITION</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
    </r>
    <r>
      <rPr>
        <b/>
        <sz val="10"/>
        <color theme="1"/>
        <rFont val="Calibri"/>
        <family val="2"/>
        <scheme val="minor"/>
      </rPr>
      <t>Suicide_Ideation_Recent</t>
    </r>
    <r>
      <rPr>
        <sz val="10"/>
        <color theme="1"/>
        <rFont val="Calibri"/>
        <family val="2"/>
        <scheme val="minor"/>
      </rPr>
      <t>" and "</t>
    </r>
    <r>
      <rPr>
        <b/>
        <sz val="10"/>
        <color theme="1"/>
        <rFont val="Calibri"/>
        <family val="2"/>
        <scheme val="minor"/>
      </rPr>
      <t>Suicide_Ideation_Past_History</t>
    </r>
    <r>
      <rPr>
        <sz val="10"/>
        <color theme="1"/>
        <rFont val="Calibri"/>
        <family val="2"/>
        <scheme val="minor"/>
      </rPr>
      <t>" must be equal or less than "</t>
    </r>
    <r>
      <rPr>
        <b/>
        <sz val="10"/>
        <color theme="1"/>
        <rFont val="Calibri"/>
        <family val="2"/>
        <scheme val="minor"/>
      </rPr>
      <t>Suicide_Current_Past_Ideation</t>
    </r>
    <r>
      <rPr>
        <sz val="10"/>
        <color theme="1"/>
        <rFont val="Calibri"/>
        <family val="2"/>
        <scheme val="minor"/>
      </rPr>
      <t>"</t>
    </r>
  </si>
  <si>
    <t>4. Enter the number of students that reported ONLY past history of suicide ideation:</t>
  </si>
  <si>
    <t xml:space="preserve">Enter the number of students that reported ONLY past history of suicide ideation (suicide ideation prior to the past week): </t>
  </si>
  <si>
    <t>Suicide_Ideation_Past_History</t>
  </si>
  <si>
    <t>5. Of those students screened/assessed for suicide risk, enter the number of students that reported ever having a suicide attempt:</t>
  </si>
  <si>
    <t xml:space="preserve">Of those students screened/assessed for suicide risk, enter the number of students that reported ever having a suicide attempt: </t>
  </si>
  <si>
    <t>Suicide_Attempt</t>
  </si>
  <si>
    <r>
      <rPr>
        <sz val="10"/>
        <color rgb="FFFF0000"/>
        <rFont val="Calibri"/>
        <family val="2"/>
        <scheme val="minor"/>
      </rPr>
      <t>●</t>
    </r>
    <r>
      <rPr>
        <sz val="10"/>
        <color theme="1"/>
        <rFont val="Calibri"/>
        <family val="2"/>
        <scheme val="minor"/>
      </rPr>
      <t xml:space="preserve"> Value must be equal or less than the value of "</t>
    </r>
    <r>
      <rPr>
        <b/>
        <sz val="10"/>
        <color theme="1"/>
        <rFont val="Calibri"/>
        <family val="2"/>
        <scheme val="minor"/>
      </rPr>
      <t>Suicide_Screened_Or_Assessed</t>
    </r>
    <r>
      <rPr>
        <sz val="10"/>
        <color theme="1"/>
        <rFont val="Calibri"/>
        <family val="2"/>
        <scheme val="minor"/>
      </rPr>
      <t>"</t>
    </r>
  </si>
  <si>
    <t>Services Provided</t>
  </si>
  <si>
    <r>
      <rPr>
        <b/>
        <sz val="12"/>
        <color theme="1"/>
        <rFont val="Calibri"/>
        <family val="2"/>
        <scheme val="minor"/>
      </rPr>
      <t xml:space="preserve">Section Synopsis - </t>
    </r>
    <r>
      <rPr>
        <sz val="12"/>
        <color theme="1"/>
        <rFont val="Calibri"/>
        <family val="2"/>
        <scheme val="minor"/>
      </rPr>
      <t xml:space="preserve">Captures types of services provided by liaison to the LEA during the reporting year.
</t>
    </r>
    <r>
      <rPr>
        <sz val="11"/>
        <color rgb="FFFF0000"/>
        <rFont val="Calibri"/>
        <family val="2"/>
        <scheme val="minor"/>
      </rPr>
      <t>●</t>
    </r>
    <r>
      <rPr>
        <sz val="11"/>
        <color theme="1"/>
        <rFont val="Calibri"/>
        <family val="2"/>
        <scheme val="minor"/>
      </rPr>
      <t xml:space="preserve"> All data elements in section are required regardless of services provided by liaison.  
</t>
    </r>
    <r>
      <rPr>
        <sz val="11"/>
        <color rgb="FFFF0000"/>
        <rFont val="Calibri"/>
        <family val="2"/>
        <scheme val="minor"/>
      </rPr>
      <t>●</t>
    </r>
    <r>
      <rPr>
        <sz val="11"/>
        <color theme="1"/>
        <rFont val="Calibri"/>
        <family val="2"/>
        <scheme val="minor"/>
      </rPr>
      <t xml:space="preserve"> NULL will not an accepted.
</t>
    </r>
  </si>
  <si>
    <t>Number of Students Screened</t>
  </si>
  <si>
    <t>Did your agency SAP Liaisons conduct any screenings for this LEA during the reporting year?</t>
  </si>
  <si>
    <t>Liaison_Role_Screening</t>
  </si>
  <si>
    <t>Bit</t>
  </si>
  <si>
    <r>
      <rPr>
        <sz val="10"/>
        <color rgb="FFFF0000"/>
        <rFont val="Calibri"/>
        <family val="2"/>
        <scheme val="minor"/>
      </rPr>
      <t>●</t>
    </r>
    <r>
      <rPr>
        <sz val="10"/>
        <color theme="1"/>
        <rFont val="Calibri"/>
        <family val="2"/>
        <scheme val="minor"/>
      </rPr>
      <t xml:space="preserve"> Mandatory
</t>
    </r>
    <r>
      <rPr>
        <sz val="10"/>
        <color rgb="FFFF0000"/>
        <rFont val="Calibri"/>
        <family val="2"/>
        <scheme val="minor"/>
      </rPr>
      <t>●</t>
    </r>
    <r>
      <rPr>
        <sz val="10"/>
        <color theme="1"/>
        <rFont val="Calibri"/>
        <family val="2"/>
        <scheme val="minor"/>
      </rPr>
      <t xml:space="preserve"> Value must be</t>
    </r>
    <r>
      <rPr>
        <b/>
        <sz val="10"/>
        <color theme="1"/>
        <rFont val="Calibri"/>
        <family val="2"/>
        <scheme val="minor"/>
      </rPr>
      <t xml:space="preserve"> 0</t>
    </r>
    <r>
      <rPr>
        <sz val="10"/>
        <color theme="1"/>
        <rFont val="Calibri"/>
        <family val="2"/>
        <scheme val="minor"/>
      </rPr>
      <t xml:space="preserve"> or </t>
    </r>
    <r>
      <rPr>
        <b/>
        <sz val="10"/>
        <color theme="1"/>
        <rFont val="Calibri"/>
        <family val="2"/>
        <scheme val="minor"/>
      </rPr>
      <t>1</t>
    </r>
  </si>
  <si>
    <t>PAGE 2</t>
  </si>
  <si>
    <t>Age Group</t>
  </si>
  <si>
    <t>10 or Younger</t>
  </si>
  <si>
    <t>11 to 13</t>
  </si>
  <si>
    <t>14 or older</t>
  </si>
  <si>
    <t>Did your agency SAP Liaisons conduct any assessments for this LEA during the reporting year?</t>
  </si>
  <si>
    <t>Liaison_Role_Assessment</t>
  </si>
  <si>
    <r>
      <rPr>
        <sz val="10"/>
        <color rgb="FFFF0000"/>
        <rFont val="Calibri"/>
        <family val="2"/>
        <scheme val="minor"/>
      </rPr>
      <t>●</t>
    </r>
    <r>
      <rPr>
        <sz val="10"/>
        <color theme="1"/>
        <rFont val="Calibri"/>
        <family val="2"/>
        <scheme val="minor"/>
      </rPr>
      <t xml:space="preserve"> Mandatory
</t>
    </r>
    <r>
      <rPr>
        <sz val="10"/>
        <color rgb="FFFF0000"/>
        <rFont val="Calibri"/>
        <family val="2"/>
        <scheme val="minor"/>
      </rPr>
      <t>●</t>
    </r>
    <r>
      <rPr>
        <sz val="10"/>
        <color theme="1"/>
        <rFont val="Calibri"/>
        <family val="2"/>
        <scheme val="minor"/>
      </rPr>
      <t xml:space="preserve"> Value must be </t>
    </r>
    <r>
      <rPr>
        <b/>
        <sz val="10"/>
        <color theme="1"/>
        <rFont val="Calibri"/>
        <family val="2"/>
        <scheme val="minor"/>
      </rPr>
      <t>0</t>
    </r>
    <r>
      <rPr>
        <sz val="10"/>
        <color theme="1"/>
        <rFont val="Calibri"/>
        <family val="2"/>
        <scheme val="minor"/>
      </rPr>
      <t xml:space="preserve"> or</t>
    </r>
    <r>
      <rPr>
        <b/>
        <sz val="10"/>
        <color theme="1"/>
        <rFont val="Calibri"/>
        <family val="2"/>
        <scheme val="minor"/>
      </rPr>
      <t xml:space="preserve"> 1</t>
    </r>
  </si>
  <si>
    <t>Other</t>
  </si>
  <si>
    <t>Screening Data</t>
  </si>
  <si>
    <r>
      <rPr>
        <b/>
        <sz val="12"/>
        <color theme="1"/>
        <rFont val="Calibri"/>
        <family val="2"/>
        <scheme val="minor"/>
      </rPr>
      <t xml:space="preserve">Section Synopsis - </t>
    </r>
    <r>
      <rPr>
        <sz val="12"/>
        <color theme="1"/>
        <rFont val="Calibri"/>
        <family val="2"/>
        <scheme val="minor"/>
      </rPr>
      <t xml:space="preserve">Captures information associated to screening
</t>
    </r>
    <r>
      <rPr>
        <sz val="11"/>
        <color rgb="FFFF0000"/>
        <rFont val="Calibri"/>
        <family val="2"/>
        <scheme val="minor"/>
      </rPr>
      <t>●</t>
    </r>
    <r>
      <rPr>
        <sz val="11"/>
        <color theme="1"/>
        <rFont val="Calibri"/>
        <family val="2"/>
        <scheme val="minor"/>
      </rPr>
      <t xml:space="preserve"> If </t>
    </r>
    <r>
      <rPr>
        <b/>
        <sz val="11"/>
        <color theme="1"/>
        <rFont val="Calibri"/>
        <family val="2"/>
        <scheme val="minor"/>
      </rPr>
      <t>Liaison_Role_Screening</t>
    </r>
    <r>
      <rPr>
        <sz val="11"/>
        <color theme="1"/>
        <rFont val="Calibri"/>
        <family val="2"/>
        <scheme val="minor"/>
      </rPr>
      <t xml:space="preserve"> is 0, all data elements in section must be marked </t>
    </r>
    <r>
      <rPr>
        <b/>
        <sz val="11"/>
        <color theme="1"/>
        <rFont val="Calibri"/>
        <family val="2"/>
        <scheme val="minor"/>
      </rPr>
      <t>NULL</t>
    </r>
    <r>
      <rPr>
        <sz val="11"/>
        <color theme="1"/>
        <rFont val="Calibri"/>
        <family val="2"/>
        <scheme val="minor"/>
      </rPr>
      <t xml:space="preserve"> 
</t>
    </r>
    <r>
      <rPr>
        <sz val="11"/>
        <color rgb="FFFF0000"/>
        <rFont val="Calibri"/>
        <family val="2"/>
        <scheme val="minor"/>
      </rPr>
      <t>●</t>
    </r>
    <r>
      <rPr>
        <sz val="11"/>
        <color theme="1"/>
        <rFont val="Calibri"/>
        <family val="2"/>
        <scheme val="minor"/>
      </rPr>
      <t xml:space="preserve"> If </t>
    </r>
    <r>
      <rPr>
        <b/>
        <sz val="11"/>
        <color theme="1"/>
        <rFont val="Calibri"/>
        <family val="2"/>
        <scheme val="minor"/>
      </rPr>
      <t>Liaison_Role_Screening</t>
    </r>
    <r>
      <rPr>
        <sz val="11"/>
        <color theme="1"/>
        <rFont val="Calibri"/>
        <family val="2"/>
        <scheme val="minor"/>
      </rPr>
      <t xml:space="preserve"> is 1, all data elements in section must be answered.  Enter </t>
    </r>
    <r>
      <rPr>
        <b/>
        <sz val="11"/>
        <color theme="1"/>
        <rFont val="Calibri"/>
        <family val="2"/>
        <scheme val="minor"/>
      </rPr>
      <t>0</t>
    </r>
    <r>
      <rPr>
        <sz val="11"/>
        <color theme="1"/>
        <rFont val="Calibri"/>
        <family val="2"/>
        <scheme val="minor"/>
      </rPr>
      <t xml:space="preserve"> to indicate no data
</t>
    </r>
  </si>
  <si>
    <t>Black or African American</t>
  </si>
  <si>
    <t>Hispanic</t>
  </si>
  <si>
    <t>Enter the number of students screened by age group, gender, and race/ethnicity in the table below.</t>
  </si>
  <si>
    <t>Screened_White_10_or_Younger_Male</t>
  </si>
  <si>
    <t>Integer (0 - 99,999; NULL)</t>
  </si>
  <si>
    <r>
      <rPr>
        <sz val="10"/>
        <color rgb="FFFF0000"/>
        <rFont val="Calibri"/>
        <family val="2"/>
        <scheme val="minor"/>
      </rPr>
      <t>●</t>
    </r>
    <r>
      <rPr>
        <sz val="10"/>
        <color theme="1"/>
        <rFont val="Calibri"/>
        <family val="2"/>
        <scheme val="minor"/>
      </rPr>
      <t xml:space="preserve"> Must be answered if "</t>
    </r>
    <r>
      <rPr>
        <b/>
        <sz val="10"/>
        <color theme="1"/>
        <rFont val="Calibri"/>
        <family val="2"/>
        <scheme val="minor"/>
      </rPr>
      <t>Liaison_Role_Screening</t>
    </r>
    <r>
      <rPr>
        <sz val="10"/>
        <color theme="1"/>
        <rFont val="Calibri"/>
        <family val="2"/>
        <scheme val="minor"/>
      </rPr>
      <t xml:space="preserve">" is marked </t>
    </r>
    <r>
      <rPr>
        <b/>
        <sz val="10"/>
        <color theme="1"/>
        <rFont val="Calibri"/>
        <family val="2"/>
        <scheme val="minor"/>
      </rPr>
      <t>1</t>
    </r>
    <r>
      <rPr>
        <sz val="10"/>
        <color theme="1"/>
        <rFont val="Calibri"/>
        <family val="2"/>
        <scheme val="minor"/>
      </rPr>
      <t xml:space="preserve">. Enter </t>
    </r>
    <r>
      <rPr>
        <b/>
        <sz val="10"/>
        <color theme="1"/>
        <rFont val="Calibri"/>
        <family val="2"/>
        <scheme val="minor"/>
      </rPr>
      <t>0</t>
    </r>
    <r>
      <rPr>
        <sz val="10"/>
        <color theme="1"/>
        <rFont val="Calibri"/>
        <family val="2"/>
        <scheme val="minor"/>
      </rPr>
      <t xml:space="preserve"> if no data
</t>
    </r>
    <r>
      <rPr>
        <sz val="10"/>
        <color rgb="FFFF0000"/>
        <rFont val="Calibri"/>
        <family val="2"/>
        <scheme val="minor"/>
      </rPr>
      <t>●</t>
    </r>
    <r>
      <rPr>
        <sz val="10"/>
        <color theme="1"/>
        <rFont val="Calibri"/>
        <family val="2"/>
        <scheme val="minor"/>
      </rPr>
      <t xml:space="preserve"> Must be "NULL" if "</t>
    </r>
    <r>
      <rPr>
        <b/>
        <sz val="10"/>
        <color theme="1"/>
        <rFont val="Calibri"/>
        <family val="2"/>
        <scheme val="minor"/>
      </rPr>
      <t>Liaison_Role_Screening</t>
    </r>
    <r>
      <rPr>
        <sz val="10"/>
        <color theme="1"/>
        <rFont val="Calibri"/>
        <family val="2"/>
        <scheme val="minor"/>
      </rPr>
      <t xml:space="preserve">" is marked </t>
    </r>
    <r>
      <rPr>
        <b/>
        <sz val="10"/>
        <color theme="1"/>
        <rFont val="Calibri"/>
        <family val="2"/>
        <scheme val="minor"/>
      </rPr>
      <t>0</t>
    </r>
  </si>
  <si>
    <t>Asian</t>
  </si>
  <si>
    <t>Screened_White_10_or_Younger_Female</t>
  </si>
  <si>
    <t>American Indian/Alaskan Native</t>
  </si>
  <si>
    <t>Screened_White_10_or_Younger_Other_Gender</t>
  </si>
  <si>
    <t>Screened_White_11_to_13_Male</t>
  </si>
  <si>
    <t>Native Hawaiian or Other Pacific Islander</t>
  </si>
  <si>
    <t>Screened_White_11_to_13_Female</t>
  </si>
  <si>
    <t>Screened_White_11_to_13_Other_Gender</t>
  </si>
  <si>
    <t>Screened_White_14_and_Older_Male</t>
  </si>
  <si>
    <t>Screening Results</t>
  </si>
  <si>
    <t>Screened_White_14_and_Older_Female</t>
  </si>
  <si>
    <t>Recommendation</t>
  </si>
  <si>
    <t>Screened_White_14_and_Older_Other_Gender</t>
  </si>
  <si>
    <t>No Recommendation</t>
  </si>
  <si>
    <t>Screened_Black_10_or_Younger_Male</t>
  </si>
  <si>
    <t>Continue Existing Treatment</t>
  </si>
  <si>
    <t>Screened_Black_10_or_Younger_Female</t>
  </si>
  <si>
    <t>New Service</t>
  </si>
  <si>
    <t>Screened_Black_10_or_Younger_Other_Gender</t>
  </si>
  <si>
    <t>Screened_Black_11_to_13_Male</t>
  </si>
  <si>
    <t>Screened_Black_11_to_13_Female</t>
  </si>
  <si>
    <t>Of the students recommended for a new service</t>
  </si>
  <si>
    <t>Screened_Black_11_to_13_Other_Gender</t>
  </si>
  <si>
    <t>PAGE 3</t>
  </si>
  <si>
    <t>Screened_Black_14_and_Older_Male</t>
  </si>
  <si>
    <t>Recommended service accessed?</t>
  </si>
  <si>
    <t>Screened_Black_14_and_Older_Female</t>
  </si>
  <si>
    <t>Don't Know</t>
  </si>
  <si>
    <t>Screened_Black_14_and_Older_Other_Gender</t>
  </si>
  <si>
    <t>Drug &amp; Alcohol Assessment</t>
  </si>
  <si>
    <t>Screened_Hispanic_10_or_Younger_Male</t>
  </si>
  <si>
    <t>Mental Health Assessment</t>
  </si>
  <si>
    <t>Screened_Hispanic_10_or_Younger_Female</t>
  </si>
  <si>
    <t>Co-occuring Assessment</t>
  </si>
  <si>
    <t>Screened_Hispanic_10_or_Younger_Other_Gender</t>
  </si>
  <si>
    <t>In-school support services</t>
  </si>
  <si>
    <t>Screened_Hispanic_11_to_13_Male</t>
  </si>
  <si>
    <t>Liaison support services</t>
  </si>
  <si>
    <t>Screened_Hispanic_11_to_13_Female</t>
  </si>
  <si>
    <t>Community-based support services</t>
  </si>
  <si>
    <t>Screened_Hispanic_11_to_13_Other_Gender</t>
  </si>
  <si>
    <t>Crisis Intervention Services</t>
  </si>
  <si>
    <t>Screened_Hispanic_14_and_Older_Male</t>
  </si>
  <si>
    <t>Medical/physical health services</t>
  </si>
  <si>
    <t>Screened_Hispanic_14_and_Older_Female</t>
  </si>
  <si>
    <t>Other Recommendation</t>
  </si>
  <si>
    <t>Screened_Hispanic_14_and_Older_Other_Gender</t>
  </si>
  <si>
    <t>Screened_Asian_10_or_Younger_Male</t>
  </si>
  <si>
    <t>Screened_Asian_10_or_Younger_Female</t>
  </si>
  <si>
    <t>PAGE 4</t>
  </si>
  <si>
    <t>Reason for Not Accessing Screening Recommendation</t>
  </si>
  <si>
    <t>Screened_Asian_10_or_Younger_Other_Gender</t>
  </si>
  <si>
    <t>Reason for Not Accessing Services</t>
  </si>
  <si>
    <t>Count</t>
  </si>
  <si>
    <t>Screened_Asian_11_to_13_Male</t>
  </si>
  <si>
    <t>Insurance Issues/Inability to pay for the service</t>
  </si>
  <si>
    <t>Screened_Asian_11_to_13_Female</t>
  </si>
  <si>
    <t>Lack of Transportation</t>
  </si>
  <si>
    <t>Screened_Asian_11_to_13_Other_Gender</t>
  </si>
  <si>
    <t>Student Refusal</t>
  </si>
  <si>
    <t>Screened_Asian_14_and_Older_Male</t>
  </si>
  <si>
    <t>Parent/Guardian Inaction or Refusal</t>
  </si>
  <si>
    <t>Screened_Asian_14_and_Older_Female</t>
  </si>
  <si>
    <t>Client Waiting List</t>
  </si>
  <si>
    <t>Screened_Asian_14_and_Older_Other_Gender</t>
  </si>
  <si>
    <t>Reason Unknown</t>
  </si>
  <si>
    <t>Screened_AmerIndAlaskNat_10_or_Younger_Male</t>
  </si>
  <si>
    <t>Other*</t>
  </si>
  <si>
    <t>Screened_AmerIndAlaskNat_10_or_Younger_Female</t>
  </si>
  <si>
    <t>Screened_AmerIndAlaskNat_10_or_Younger_Other_Gender</t>
  </si>
  <si>
    <t>Screened_AmerIndAlaskNat_11_to_13_Male</t>
  </si>
  <si>
    <t>Number of Students Assessed</t>
  </si>
  <si>
    <t>Screened_AmerIndAlaskNat_11_to_13_Female</t>
  </si>
  <si>
    <t>PAGE 5</t>
  </si>
  <si>
    <t>Screened_AmerIndAlaskNat_11_to_13_Other_Gender</t>
  </si>
  <si>
    <t>Screened_AmerIndAlaskNat_14_and_Older_Male</t>
  </si>
  <si>
    <t>Screened_AmerIndAlaskNat_14_and_Older_Female</t>
  </si>
  <si>
    <t>Screened_AmerIndAlaskNat_14_and_Older_Other_Gender</t>
  </si>
  <si>
    <t>Screened_Multi_10_or_Younger_Male</t>
  </si>
  <si>
    <t>Screened_Multi_10_or_Younger_Female</t>
  </si>
  <si>
    <t>Screened_Multi_10_or_Younger_Other_Gender</t>
  </si>
  <si>
    <t>Screened_Multi_11_to_13_Male</t>
  </si>
  <si>
    <t>Screened_Multi_11_to_13_Female</t>
  </si>
  <si>
    <t>Screened_Multi_11_to_13_Other_Gender</t>
  </si>
  <si>
    <t>Screened_Multi_14_and_Older_Male</t>
  </si>
  <si>
    <t>Screened_Multi_14_and_Older_Female</t>
  </si>
  <si>
    <t>Type of Assessment</t>
  </si>
  <si>
    <t>Screened_Multi_14_and_Older_Other_Gender</t>
  </si>
  <si>
    <t>Assessment Type</t>
  </si>
  <si>
    <t>Screened_NatHawaiinOtherPacIslander_10_or_Younger_Male</t>
  </si>
  <si>
    <t>Primary Drug/Alcohol</t>
  </si>
  <si>
    <t>Screened_NatHawaiinOtherPacIslander_10_or_Younger_Female</t>
  </si>
  <si>
    <t>Primary Mental Health</t>
  </si>
  <si>
    <t>Screened_NatHawaiinOtherPacIslander_10_or_Younger_Other_Gender</t>
  </si>
  <si>
    <t>Primary Co-Occuring</t>
  </si>
  <si>
    <t>Screened_NatHawaiinOtherPacIslander_11_to_13_Male</t>
  </si>
  <si>
    <t>Screened_NatHawaiinOtherPacIslander_11_to_13_Female</t>
  </si>
  <si>
    <t>Screened_NatHawaiinOtherPacIslander_11_to_13_Other_Gender</t>
  </si>
  <si>
    <t>Assessment Results</t>
  </si>
  <si>
    <t>Same as recommendations one from Page 2</t>
  </si>
  <si>
    <t>Screened_NatHawaiinOtherPacIslander_14_and_Older_Male</t>
  </si>
  <si>
    <t>PAGE 6</t>
  </si>
  <si>
    <t>Screened_NatHawaiinOtherPacIslander_14_and_Older_Female</t>
  </si>
  <si>
    <t>Screened_NatHawaiinOtherPacIslander_14_and_Older_Other_Gender</t>
  </si>
  <si>
    <t>Of the students who have been screened, indicate in the table below by age group the number who had no recommendation, the number who were recommended to continue with existing services, and the number who were recommended for one or more new services.</t>
  </si>
  <si>
    <t>ScreeningResults_10_or_Younger_No_Recommendation</t>
  </si>
  <si>
    <r>
      <rPr>
        <b/>
        <sz val="12"/>
        <rFont val="Calibri"/>
        <family val="2"/>
      </rPr>
      <t xml:space="preserve">GROUP CONDITIONS
</t>
    </r>
    <r>
      <rPr>
        <sz val="8"/>
        <color rgb="FFFF0000"/>
        <rFont val="Calibri"/>
        <family val="2"/>
      </rPr>
      <t xml:space="preserve">
●  </t>
    </r>
    <r>
      <rPr>
        <sz val="8"/>
        <rFont val="Calibri"/>
        <family val="2"/>
      </rPr>
      <t>T</t>
    </r>
    <r>
      <rPr>
        <sz val="10"/>
        <rFont val="Calibri"/>
        <family val="2"/>
      </rPr>
      <t xml:space="preserve">he sum of </t>
    </r>
    <r>
      <rPr>
        <b/>
        <sz val="10"/>
        <rFont val="Calibri"/>
        <family val="2"/>
      </rPr>
      <t>ScreeningResults_10_or_Younger_No_Recommendation</t>
    </r>
    <r>
      <rPr>
        <sz val="10"/>
        <rFont val="Calibri"/>
        <family val="2"/>
      </rPr>
      <t>,</t>
    </r>
    <r>
      <rPr>
        <b/>
        <sz val="10"/>
        <rFont val="Calibri"/>
        <family val="2"/>
      </rPr>
      <t xml:space="preserve"> ScreeningResults_10_or_Younger_Continue_Existing_Services</t>
    </r>
    <r>
      <rPr>
        <sz val="10"/>
        <rFont val="Calibri"/>
        <family val="2"/>
      </rPr>
      <t xml:space="preserve"> and </t>
    </r>
    <r>
      <rPr>
        <b/>
        <sz val="10"/>
        <rFont val="Calibri"/>
        <family val="2"/>
      </rPr>
      <t>ScreeningResults_10_or_Younger_New_Services_Recommended</t>
    </r>
    <r>
      <rPr>
        <sz val="10"/>
        <rFont val="Calibri"/>
        <family val="2"/>
      </rPr>
      <t xml:space="preserve"> must be</t>
    </r>
    <r>
      <rPr>
        <b/>
        <sz val="10"/>
        <rFont val="Calibri"/>
        <family val="2"/>
      </rPr>
      <t xml:space="preserve"> 0</t>
    </r>
    <r>
      <rPr>
        <sz val="10"/>
        <rFont val="Calibri"/>
        <family val="2"/>
      </rPr>
      <t xml:space="preserve"> if the twenty one </t>
    </r>
    <r>
      <rPr>
        <b/>
        <sz val="10"/>
        <rFont val="Calibri"/>
        <family val="2"/>
      </rPr>
      <t>Screened_EthnicityX_10_or_Younger_GenderX</t>
    </r>
    <r>
      <rPr>
        <sz val="10"/>
        <rFont val="Calibri"/>
        <family val="2"/>
      </rPr>
      <t xml:space="preserve"> fields are all </t>
    </r>
    <r>
      <rPr>
        <b/>
        <sz val="10"/>
        <rFont val="Calibri"/>
        <family val="2"/>
      </rPr>
      <t>0</t>
    </r>
    <r>
      <rPr>
        <sz val="8"/>
        <color rgb="FFFF0000"/>
        <rFont val="Calibri"/>
        <family val="2"/>
      </rPr>
      <t xml:space="preserve">
●</t>
    </r>
    <r>
      <rPr>
        <sz val="10"/>
        <color theme="1"/>
        <rFont val="Calibri"/>
        <family val="2"/>
        <scheme val="minor"/>
      </rPr>
      <t xml:space="preserve">The sum of </t>
    </r>
    <r>
      <rPr>
        <b/>
        <sz val="10"/>
        <color theme="1"/>
        <rFont val="Calibri"/>
        <family val="2"/>
        <scheme val="minor"/>
      </rPr>
      <t>ScreeningResults_10_or_Younger_No_Recommendation</t>
    </r>
    <r>
      <rPr>
        <sz val="10"/>
        <color theme="1"/>
        <rFont val="Calibri"/>
        <family val="2"/>
        <scheme val="minor"/>
      </rPr>
      <t>,</t>
    </r>
    <r>
      <rPr>
        <b/>
        <sz val="10"/>
        <color theme="1"/>
        <rFont val="Calibri"/>
        <family val="2"/>
        <scheme val="minor"/>
      </rPr>
      <t xml:space="preserve"> ScreeningResults_10_or_Younger_Continue_Existing_Services</t>
    </r>
    <r>
      <rPr>
        <sz val="10"/>
        <color theme="1"/>
        <rFont val="Calibri"/>
        <family val="2"/>
        <scheme val="minor"/>
      </rPr>
      <t xml:space="preserve"> and </t>
    </r>
    <r>
      <rPr>
        <b/>
        <sz val="10"/>
        <color theme="1"/>
        <rFont val="Calibri"/>
        <family val="2"/>
        <scheme val="minor"/>
      </rPr>
      <t>ScreeningResults_10_or_Younger_New_Services_Recommended</t>
    </r>
    <r>
      <rPr>
        <sz val="10"/>
        <color theme="1"/>
        <rFont val="Calibri"/>
        <family val="2"/>
        <scheme val="minor"/>
      </rPr>
      <t xml:space="preserve"> must be equal or greater than the sum of: </t>
    </r>
    <r>
      <rPr>
        <b/>
        <sz val="10"/>
        <color theme="1"/>
        <rFont val="Calibri"/>
        <family val="2"/>
        <scheme val="minor"/>
      </rPr>
      <t>{</t>
    </r>
    <r>
      <rPr>
        <sz val="10"/>
        <color theme="1"/>
        <rFont val="Calibri"/>
        <family val="2"/>
        <scheme val="minor"/>
      </rPr>
      <t xml:space="preserve">
Screened_White_10_or_Younger_Male
Screened_White_10_or_Younger_Female
Screened_White_10_or_Younger_Other_Gender
Screened_Black_10_or_Younger_Male
Screened_Black_10_or_Younger_Female
Screened_Black_10_or_Younger_Other_Gender
Screened_Hispanic_10_or_Younger_Male
Screened_Hispanic_10_or_Younger_Female
Screened_Hispanic_10_or_Younger_Other_Gender
Screened_Asian_10_or_Younger_Male
Screened_Asian_10_or_Younger_Female
Screened_Asian_10_or_Younger_Other_Gender
Screened_AmerIndAlaskNat_10_or_Younger_Male
Screened_AmerIndAlaskNat_10_or_Younger_Female
Screened_AmerIndAlaskNat_10_or_Younger_Other_Gender
Screened_Multi_10_or_Younger_Male
Screened_Multi_10_or_Younger_Female
Screened_Multi_10_or_Younger_Other_Gender
Screened_NatHawaiinOtherPacIslander_10_or_Younger_Male
Screened_NatHawaiinOtherPacIslander_10_or_Younger_Female
Screened_NatHawaiinOtherPacIslander_10_or_Younger_Other_Gender</t>
    </r>
    <r>
      <rPr>
        <b/>
        <sz val="10"/>
        <color theme="1"/>
        <rFont val="Calibri"/>
        <family val="2"/>
        <scheme val="minor"/>
      </rPr>
      <t>}</t>
    </r>
    <r>
      <rPr>
        <sz val="10"/>
        <color theme="1"/>
        <rFont val="Calibri"/>
        <family val="2"/>
        <scheme val="minor"/>
      </rPr>
      <t xml:space="preserve">
</t>
    </r>
  </si>
  <si>
    <t>ScreeningResults_10_or_Younger_Continue_Existing_Services</t>
  </si>
  <si>
    <t>ScreeningResults_10_or_Younger_New_Services_Recommended</t>
  </si>
  <si>
    <t>Of the students recommended for a new service (Non-Treatment Supports/General)</t>
  </si>
  <si>
    <t>ScreeningResults_11_to_13_No_Recommendation</t>
  </si>
  <si>
    <r>
      <rPr>
        <b/>
        <sz val="12"/>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
    </r>
    <r>
      <rPr>
        <b/>
        <sz val="10"/>
        <color theme="1"/>
        <rFont val="Calibri"/>
        <family val="2"/>
        <scheme val="minor"/>
      </rPr>
      <t>ScreeningResults_11_to_13_No_Recommendation</t>
    </r>
    <r>
      <rPr>
        <sz val="10"/>
        <color theme="1"/>
        <rFont val="Calibri"/>
        <family val="2"/>
        <scheme val="minor"/>
      </rPr>
      <t>,</t>
    </r>
    <r>
      <rPr>
        <b/>
        <sz val="10"/>
        <color theme="1"/>
        <rFont val="Calibri"/>
        <family val="2"/>
        <scheme val="minor"/>
      </rPr>
      <t xml:space="preserve"> ScreeningResults_11_to_13_Continue_Existing_Services </t>
    </r>
    <r>
      <rPr>
        <sz val="10"/>
        <color theme="1"/>
        <rFont val="Calibri"/>
        <family val="2"/>
        <scheme val="minor"/>
      </rPr>
      <t xml:space="preserve">and </t>
    </r>
    <r>
      <rPr>
        <b/>
        <sz val="10"/>
        <color theme="1"/>
        <rFont val="Calibri"/>
        <family val="2"/>
        <scheme val="minor"/>
      </rPr>
      <t>ScreeningResults_11_to_13_New_Services_Recommended</t>
    </r>
    <r>
      <rPr>
        <sz val="10"/>
        <color theme="1"/>
        <rFont val="Calibri"/>
        <family val="2"/>
        <scheme val="minor"/>
      </rPr>
      <t xml:space="preserve"> must be </t>
    </r>
    <r>
      <rPr>
        <b/>
        <sz val="10"/>
        <color theme="1"/>
        <rFont val="Calibri"/>
        <family val="2"/>
        <scheme val="minor"/>
      </rPr>
      <t>0</t>
    </r>
    <r>
      <rPr>
        <sz val="10"/>
        <color theme="1"/>
        <rFont val="Calibri"/>
        <family val="2"/>
        <scheme val="minor"/>
      </rPr>
      <t xml:space="preserve"> if the twenty one</t>
    </r>
    <r>
      <rPr>
        <b/>
        <sz val="10"/>
        <color theme="1"/>
        <rFont val="Calibri"/>
        <family val="2"/>
        <scheme val="minor"/>
      </rPr>
      <t xml:space="preserve"> Screened_EthnicityX_11_to_13_GenderX</t>
    </r>
    <r>
      <rPr>
        <sz val="10"/>
        <color theme="1"/>
        <rFont val="Calibri"/>
        <family val="2"/>
        <scheme val="minor"/>
      </rPr>
      <t xml:space="preserve"> fields are all</t>
    </r>
    <r>
      <rPr>
        <b/>
        <sz val="10"/>
        <color theme="1"/>
        <rFont val="Calibri"/>
        <family val="2"/>
        <scheme val="minor"/>
      </rPr>
      <t xml:space="preserve"> 0</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t>
    </r>
    <r>
      <rPr>
        <b/>
        <sz val="10"/>
        <color theme="1"/>
        <rFont val="Calibri"/>
        <family val="2"/>
        <scheme val="minor"/>
      </rPr>
      <t xml:space="preserve"> ScreeningResults_11_to_13_No_Recommendation</t>
    </r>
    <r>
      <rPr>
        <sz val="10"/>
        <color theme="1"/>
        <rFont val="Calibri"/>
        <family val="2"/>
        <scheme val="minor"/>
      </rPr>
      <t xml:space="preserve">, </t>
    </r>
    <r>
      <rPr>
        <b/>
        <sz val="10"/>
        <color theme="1"/>
        <rFont val="Calibri"/>
        <family val="2"/>
        <scheme val="minor"/>
      </rPr>
      <t>ScreeningResults_11_to_13_Continue_Existing_Services</t>
    </r>
    <r>
      <rPr>
        <sz val="10"/>
        <color theme="1"/>
        <rFont val="Calibri"/>
        <family val="2"/>
        <scheme val="minor"/>
      </rPr>
      <t xml:space="preserve"> and </t>
    </r>
    <r>
      <rPr>
        <b/>
        <sz val="10"/>
        <color theme="1"/>
        <rFont val="Calibri"/>
        <family val="2"/>
        <scheme val="minor"/>
      </rPr>
      <t>ScreeningResults_11_to_13_New_Services_Recommended</t>
    </r>
    <r>
      <rPr>
        <sz val="10"/>
        <color theme="1"/>
        <rFont val="Calibri"/>
        <family val="2"/>
        <scheme val="minor"/>
      </rPr>
      <t xml:space="preserve"> must be equal or greater than the sum of: {
Screened_White_11_to_13_Male
Screened_White_11_to_13_Female
Screened_White_11_to_13_Other_Gender
Screened_Black_11_to_13_Male
Screened_Black_11_to_13_Female
Screened_Black_11_to_13_Other_Gender
Screened_Hispanic_11_to_13_Male
Screened_Hispanic_11_to_13_Female
Screened_Hispanic_11_to_13_Other_Gender
Screened_Asian_11_to_13_Male
Screened_Asian_11_to_13_Female
Screened_Asian_11_to_13_Other_Gender
Screened_AmerIndAlaskNat_11_to_13_Male
Screened_AmerIndAlaskNat_11_to_13_Female
Screened_AmerIndAlaskNat_11_to_13_Other_Gender
Screened_Multi_11_to_13_Male
Screened_Multi_11_to_13_Female
Screened_Multi_11_to_13_Other_Gender
Screened_NatHawaiinOtherPacIslander_11_to_13_Male
Screened_NatHawaiinOtherPacIslander_11_to_13_Female
Screened_NatHawaiinOtherPacIslander_11_to_13_Other_Gender}
</t>
    </r>
  </si>
  <si>
    <t>Recommendations for Non-Treatment Supports/General</t>
  </si>
  <si>
    <t>ScreeningResults_11_to_13_Continue_Existing_Services</t>
  </si>
  <si>
    <t>ScreeningResults_11_to_13_New_Services_Recommended</t>
  </si>
  <si>
    <t>ScreeningResults_14_and_Older_No_Recommendation</t>
  </si>
  <si>
    <r>
      <rPr>
        <b/>
        <sz val="12"/>
        <rFont val="Calibri"/>
        <family val="2"/>
        <scheme val="minor"/>
      </rPr>
      <t>GROUP CONDITIONS</t>
    </r>
    <r>
      <rPr>
        <sz val="10"/>
        <color rgb="FFFF0000"/>
        <rFont val="Calibri"/>
        <family val="2"/>
        <scheme val="minor"/>
      </rPr>
      <t xml:space="preserve">
● </t>
    </r>
    <r>
      <rPr>
        <sz val="10"/>
        <rFont val="Calibri"/>
        <family val="2"/>
        <scheme val="minor"/>
      </rPr>
      <t xml:space="preserve">The sum of </t>
    </r>
    <r>
      <rPr>
        <b/>
        <sz val="10"/>
        <rFont val="Calibri"/>
        <family val="2"/>
        <scheme val="minor"/>
      </rPr>
      <t>ScreeningResults_14_and_Older_No_Recommendation</t>
    </r>
    <r>
      <rPr>
        <sz val="10"/>
        <rFont val="Calibri"/>
        <family val="2"/>
        <scheme val="minor"/>
      </rPr>
      <t xml:space="preserve">, </t>
    </r>
    <r>
      <rPr>
        <b/>
        <sz val="10"/>
        <rFont val="Calibri"/>
        <family val="2"/>
        <scheme val="minor"/>
      </rPr>
      <t>ScreeningResults_14_and_Older_Continue_Existing_Services</t>
    </r>
    <r>
      <rPr>
        <sz val="10"/>
        <rFont val="Calibri"/>
        <family val="2"/>
        <scheme val="minor"/>
      </rPr>
      <t xml:space="preserve"> and </t>
    </r>
    <r>
      <rPr>
        <b/>
        <sz val="10"/>
        <rFont val="Calibri"/>
        <family val="2"/>
        <scheme val="minor"/>
      </rPr>
      <t>ScreeningResults_14_and_Older_New_Services_Recommended</t>
    </r>
    <r>
      <rPr>
        <sz val="10"/>
        <rFont val="Calibri"/>
        <family val="2"/>
        <scheme val="minor"/>
      </rPr>
      <t xml:space="preserve"> must be </t>
    </r>
    <r>
      <rPr>
        <b/>
        <sz val="10"/>
        <rFont val="Calibri"/>
        <family val="2"/>
        <scheme val="minor"/>
      </rPr>
      <t>0</t>
    </r>
    <r>
      <rPr>
        <sz val="10"/>
        <rFont val="Calibri"/>
        <family val="2"/>
        <scheme val="minor"/>
      </rPr>
      <t xml:space="preserve"> if the twenty one </t>
    </r>
    <r>
      <rPr>
        <b/>
        <sz val="10"/>
        <rFont val="Calibri"/>
        <family val="2"/>
        <scheme val="minor"/>
      </rPr>
      <t>Screened_EthnicityX_14_and_Older_GenderX fields</t>
    </r>
    <r>
      <rPr>
        <sz val="10"/>
        <rFont val="Calibri"/>
        <family val="2"/>
        <scheme val="minor"/>
      </rPr>
      <t xml:space="preserve"> are all 0</t>
    </r>
    <r>
      <rPr>
        <sz val="10"/>
        <color rgb="FFFF0000"/>
        <rFont val="Calibri"/>
        <family val="2"/>
        <scheme val="minor"/>
      </rPr>
      <t xml:space="preserve">
●</t>
    </r>
    <r>
      <rPr>
        <sz val="10"/>
        <color theme="1"/>
        <rFont val="Calibri"/>
        <family val="2"/>
        <scheme val="minor"/>
      </rPr>
      <t xml:space="preserve"> The sum of </t>
    </r>
    <r>
      <rPr>
        <b/>
        <sz val="10"/>
        <color theme="1"/>
        <rFont val="Calibri"/>
        <family val="2"/>
        <scheme val="minor"/>
      </rPr>
      <t>ScreeningResults_14_and_Older_No_Recommendation</t>
    </r>
    <r>
      <rPr>
        <sz val="10"/>
        <color theme="1"/>
        <rFont val="Calibri"/>
        <family val="2"/>
        <scheme val="minor"/>
      </rPr>
      <t xml:space="preserve">, </t>
    </r>
    <r>
      <rPr>
        <b/>
        <sz val="10"/>
        <color theme="1"/>
        <rFont val="Calibri"/>
        <family val="2"/>
        <scheme val="minor"/>
      </rPr>
      <t>ScreeningResults_14_and_Older_Continue_Existing_Services</t>
    </r>
    <r>
      <rPr>
        <sz val="10"/>
        <color theme="1"/>
        <rFont val="Calibri"/>
        <family val="2"/>
        <scheme val="minor"/>
      </rPr>
      <t xml:space="preserve"> and </t>
    </r>
    <r>
      <rPr>
        <b/>
        <sz val="10"/>
        <color theme="1"/>
        <rFont val="Calibri"/>
        <family val="2"/>
        <scheme val="minor"/>
      </rPr>
      <t>ScreeningResults_14_and_Older_New_Services_Recommended</t>
    </r>
    <r>
      <rPr>
        <sz val="10"/>
        <color theme="1"/>
        <rFont val="Calibri"/>
        <family val="2"/>
        <scheme val="minor"/>
      </rPr>
      <t xml:space="preserve"> must be equal or greater than the sum of: </t>
    </r>
    <r>
      <rPr>
        <b/>
        <sz val="10"/>
        <color theme="1"/>
        <rFont val="Calibri"/>
        <family val="2"/>
        <scheme val="minor"/>
      </rPr>
      <t>{</t>
    </r>
    <r>
      <rPr>
        <sz val="10"/>
        <color theme="1"/>
        <rFont val="Calibri"/>
        <family val="2"/>
        <scheme val="minor"/>
      </rPr>
      <t xml:space="preserve">
Screened_White_14_and_Older_Male
Screened_White_14_and_Older_Female
Screened_White_14_and_Older_Other_Gender
Screened_Black_14_and_Older_Male
Screened_Black_14_and_Older_Female
Screened_Black_14_and_Older_Other_Gender
Screened_Hispanic_14_and_Older_Male
Screened_Hispanic_14_and_Older_Female
Screened_Hispanic_14_and_Older_Other_Gender
Screened_Asian_14_and_Older_Male
Screened_Asian_14_and_Older_Female
Screened_Asian_14_and_Older_Other_Gender
Screened_AmerIndAlaskNat_14_and_Older_Male
Screened_AmerIndAlaskNat_14_and_Older_Female
Screened_AmerIndAlaskNat_14_and_Older_Other_Gender
Screened_Multi_14_and_Older_Male
Screened_Multi_14_and_Older_Female
Screened_Multi_14_and_Older_Other_Gender
Screened_NatHawaiinOtherPacIslander_14_and_Older_Male
Screened_NatHawaiinOtherPacIslander_14_and_Older_Female
Screened_NatHawaiinOtherPacIslander_14_and_Older_Other_Gender</t>
    </r>
    <r>
      <rPr>
        <b/>
        <sz val="10"/>
        <color theme="1"/>
        <rFont val="Calibri"/>
        <family val="2"/>
        <scheme val="minor"/>
      </rPr>
      <t>}</t>
    </r>
  </si>
  <si>
    <t>School Supports (non-treatment)</t>
  </si>
  <si>
    <t>ScreeningResults_14_and_Older_Continue_Existing_Services</t>
  </si>
  <si>
    <t>Liaison Support Services (non-treatment)</t>
  </si>
  <si>
    <t>ScreeningResults_14_and_Older_New_Services_Recommended</t>
  </si>
  <si>
    <t>Community Based or Other Support Services (non-treatment)</t>
  </si>
  <si>
    <t>New Recommended Services From Screening</t>
  </si>
  <si>
    <t>Referral to Crisis Intervention Services</t>
  </si>
  <si>
    <t>Of the students recommended for a new service, indicate in the table below by age group the number who were recommended for each service category. If a student was recommended to multiple services, include them in the count for each service to which they were recommended. Where indicated in the table, break out the number of students recommended for a service into the following categories: accessed the service, didn’t access the service, or you do not know if the student did/didn’t access the service.</t>
  </si>
  <si>
    <t>ScreeningNewServicesRecommended_10_or_Younger_DrugandAlcholholAssessment_Accessed_Yes</t>
  </si>
  <si>
    <r>
      <rPr>
        <b/>
        <sz val="12"/>
        <rFont val="Calibri"/>
        <family val="2"/>
        <scheme val="minor"/>
      </rPr>
      <t>GROUP CONDITIONS</t>
    </r>
    <r>
      <rPr>
        <sz val="10"/>
        <color rgb="FFFF0000"/>
        <rFont val="Calibri"/>
        <family val="2"/>
        <scheme val="minor"/>
      </rPr>
      <t xml:space="preserve">
●</t>
    </r>
    <r>
      <rPr>
        <sz val="10"/>
        <color theme="1"/>
        <rFont val="Calibri"/>
        <family val="2"/>
        <scheme val="minor"/>
      </rPr>
      <t xml:space="preserve"> If </t>
    </r>
    <r>
      <rPr>
        <b/>
        <sz val="10"/>
        <color theme="1"/>
        <rFont val="Calibri"/>
        <family val="2"/>
        <scheme val="minor"/>
      </rPr>
      <t>ScreeningResults_10_or_Younger_New_Services_Recommended</t>
    </r>
    <r>
      <rPr>
        <sz val="10"/>
        <color theme="1"/>
        <rFont val="Calibri"/>
        <family val="2"/>
        <scheme val="minor"/>
      </rPr>
      <t xml:space="preserve"> is </t>
    </r>
    <r>
      <rPr>
        <b/>
        <sz val="10"/>
        <color theme="1"/>
        <rFont val="Calibri"/>
        <family val="2"/>
        <scheme val="minor"/>
      </rPr>
      <t>0</t>
    </r>
    <r>
      <rPr>
        <sz val="10"/>
        <color theme="1"/>
        <rFont val="Calibri"/>
        <family val="2"/>
        <scheme val="minor"/>
      </rPr>
      <t>, then all 27</t>
    </r>
    <r>
      <rPr>
        <b/>
        <sz val="10"/>
        <color theme="1"/>
        <rFont val="Calibri"/>
        <family val="2"/>
        <scheme val="minor"/>
      </rPr>
      <t xml:space="preserve"> ScreeningNewServicesRecommended_10_or_Younger</t>
    </r>
    <r>
      <rPr>
        <sz val="10"/>
        <color theme="1"/>
        <rFont val="Calibri"/>
        <family val="2"/>
        <scheme val="minor"/>
      </rPr>
      <t xml:space="preserve"> fields must be </t>
    </r>
    <r>
      <rPr>
        <b/>
        <sz val="10"/>
        <color theme="1"/>
        <rFont val="Calibri"/>
        <family val="2"/>
        <scheme val="minor"/>
      </rPr>
      <t>0</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t>
    </r>
    <r>
      <rPr>
        <b/>
        <sz val="10"/>
        <color theme="1"/>
        <rFont val="Calibri"/>
        <family val="2"/>
        <scheme val="minor"/>
      </rPr>
      <t>{</t>
    </r>
    <r>
      <rPr>
        <sz val="10"/>
        <color theme="1"/>
        <rFont val="Calibri"/>
        <family val="2"/>
        <scheme val="minor"/>
      </rPr>
      <t xml:space="preserve">
ScreeningNewServicesRecommended_10_or_Younger_DrugandAlcholholAssessment_Accessed_Yes
ScreeningNewServicesRecommended_10_or_Younger_DrugandAlcholholAssessment_Accessed_No
ScreeningNewServicesRecommended_10_or_Younger_DrugandAlcholholAssessment_Accessed_Dont_Know
ScreeningNewServicesRecommended_10_or_Younger_MentalHealthAssessment_Accessed_Yes
ScreeningNewServicesRecommended_10_or_Younger_MentalHealthAssessment_Accessed_No
ScreeningNewServicesRecommended_10_or_Younger_MentalHealthAssessment_Accessed_Dont_Know
ScreeningNewServicesRecommended_10_or_Younger_CoOccurringAssessment_Accessed_Yes
ScreeningNewServicesRecommended_10_or_Younger_CoOccurringAssessment_Accessed_No
ScreeningNewServicesRecommended_10_or_Younger_CoOccurringAssessment_Accessed_Dont_Know
ScreeningNewServicesRecommended_10_or_Younger_InSchoolSupportServices_Accessed_Yes
ScreeningNewServicesRecommended_10_or_Younger_InSchoolSupportServices_Accessed_No
ScreeningNewServicesRecommended_10_or_Younger_InSchoolSupportServices_Accessed_Dont_Know
ScreeningNewServicesRecommended_10_or_Younger_LiaisonSupportServices_Accessed_Yes
ScreeningNewServicesRecommended_10_or_Younger_LiaisonSupportServices_Accessed_No
ScreeningNewServicesRecommended_10_or_Younger_LiaisonSupportServices_Accessed_Dont_Know
ScreeningNewServicesRecommended_10_or_Younger_CommunityBasedSupportServices_Accessed_Yes
ScreeningNewServicesRecommended_10_or_Younger_CommunityBasedSupportServices_Accessed_No
ScreeningNewServicesRecommended_10_or_Younger_CommunityBasedSupportServices_Accessed_Dont_Know
ScreeningNewServicesRecommended_10_or_Younger_CrisisInterventionServices_Accessed_Yes
ScreeningNewServicesRecommended_10_or_Younger_CrisisInterventionServices_Accessed_No
ScreeningNewServicesRecommended_10_or_Younger_CrisisInterventionServices_Accessed_Dont_Know
ScreeningNewServicesRecommended_10_or_Younger_MedicalPhysicalHealthServices_Accessed_Yes
ScreeningNewServicesRecommended_10_or_Younger_MedicalPhysicalHealthServices_Accessed_No
ScreeningNewServicesRecommended_10_or_Younger_MedicalPhysicalHealthServices_Accessed_Dont_Know
ScreeningNewServicesRecommended_10_or_Younger_OtherRecommendation_Accessed_Yes
ScreeningNewServicesRecommended_10_or_Younger_OtherRecommendation_Accessed_No
ScreeningNewServicesRecommended_10_or_Younger_OtherRecommendation_Accessed_Dont_Know</t>
    </r>
    <r>
      <rPr>
        <b/>
        <sz val="10"/>
        <color theme="1"/>
        <rFont val="Calibri"/>
        <family val="2"/>
        <scheme val="minor"/>
      </rPr>
      <t>}</t>
    </r>
    <r>
      <rPr>
        <sz val="10"/>
        <color theme="1"/>
        <rFont val="Calibri"/>
        <family val="2"/>
        <scheme val="minor"/>
      </rPr>
      <t xml:space="preserve">
must greater or equal to the value of </t>
    </r>
    <r>
      <rPr>
        <b/>
        <sz val="10"/>
        <color theme="1"/>
        <rFont val="Calibri"/>
        <family val="2"/>
        <scheme val="minor"/>
      </rPr>
      <t>ScreeningResults_10_or_Younger_New_Services_Recommended</t>
    </r>
  </si>
  <si>
    <t>Other Assessment</t>
  </si>
  <si>
    <t>ScreeningNewServicesRecommended_10_or_Younger_DrugandAlcholholAssessment_Accessed_No</t>
  </si>
  <si>
    <t>ScreeningNewServicesRecommended_10_or_Younger_DrugandAlcholholAssessment_Accessed_Dont_Know</t>
  </si>
  <si>
    <t>ScreeningNewServicesRecommended_10_or_Younger_MentalHealthAssessment_Accessed_Yes</t>
  </si>
  <si>
    <t>Of the students recommended for a new service (Drug &amp; Alcohol Treatment)</t>
  </si>
  <si>
    <t>We don't use this table since we are not collecting the Drug/Alcohol data</t>
  </si>
  <si>
    <t>ScreeningNewServicesRecommended_10_or_Younger_MentalHealthAssessment_Accessed_No</t>
  </si>
  <si>
    <t>PAGE 7</t>
  </si>
  <si>
    <t>Recommendations for Drug &amp; Alcohol Treatment</t>
  </si>
  <si>
    <t>ScreeningNewServicesRecommended_10_or_Younger_MentalHealthAssessment_Accessed_Dont_Know</t>
  </si>
  <si>
    <t>ScreeningNewServicesRecommended_10_or_Younger_CoOccurringAssessment_Accessed_Yes</t>
  </si>
  <si>
    <t>ScreeningNewServicesRecommended_10_or_Younger_CoOccurringAssessment_Accessed_No</t>
  </si>
  <si>
    <t>D/A Early Intervention (ASAM .5)</t>
  </si>
  <si>
    <t>ScreeningNewServicesRecommended_10_or_Younger_CoOccurringAssessment_Accessed_Dont_Know</t>
  </si>
  <si>
    <t>D/A Outpatient (ASAM Level 1)</t>
  </si>
  <si>
    <t>ScreeningNewServicesRecommended_10_or_Younger_InSchoolSupportServices_Accessed_Yes</t>
  </si>
  <si>
    <t>D/A Intensive Outpatient (ASAM 2.1)</t>
  </si>
  <si>
    <t>ScreeningNewServicesRecommended_10_or_Younger_InSchoolSupportServices_Accessed_No</t>
  </si>
  <si>
    <t>D/A Partial Hospitalization (ASAM 2.5)</t>
  </si>
  <si>
    <t>ScreeningNewServicesRecommended_10_or_Younger_InSchoolSupportServices_Accessed_Dont_Know</t>
  </si>
  <si>
    <t>D/A Residential/Inpatient (ASAM Level 3)</t>
  </si>
  <si>
    <t>ScreeningNewServicesRecommended_10_or_Younger_LiaisonSupportServices_Accessed_Yes</t>
  </si>
  <si>
    <t>D/A Intensive Inpatient (ASAM Level 4)</t>
  </si>
  <si>
    <t>ScreeningNewServicesRecommended_10_or_Younger_LiaisonSupportServices_Accessed_No</t>
  </si>
  <si>
    <t>ScreeningNewServicesRecommended_10_or_Younger_LiaisonSupportServices_Accessed_Dont_Know</t>
  </si>
  <si>
    <t>ScreeningNewServicesRecommended_10_or_Younger_CommunityBasedSupportServices_Accessed_Yes</t>
  </si>
  <si>
    <t>Of the students recommended for a new service (Mental Health Treatment)</t>
  </si>
  <si>
    <t>ScreeningNewServicesRecommended_10_or_Younger_CommunityBasedSupportServices_Accessed_No</t>
  </si>
  <si>
    <t>Recommendations for Mental Health Treatment</t>
  </si>
  <si>
    <t>ScreeningNewServicesRecommended_10_or_Younger_CommunityBasedSupportServices_Accessed_Dont_Know</t>
  </si>
  <si>
    <t>ScreeningNewServicesRecommended_10_or_Younger_CrisisInterventionServices_Accessed_Yes</t>
  </si>
  <si>
    <t>ScreeningNewServicesRecommended_10_or_Younger_CrisisInterventionServices_Accessed_No</t>
  </si>
  <si>
    <t>Psychiatric Outpatient – School Based</t>
  </si>
  <si>
    <t>ScreeningNewServicesRecommended_10_or_Younger_CrisisInterventionServices_Accessed_Dont_Know</t>
  </si>
  <si>
    <t>Psychiatric Outpatient – Community Based</t>
  </si>
  <si>
    <t>ScreeningNewServicesRecommended_10_or_Younger_MedicalPhysicalHealthServices_Accessed_Yes</t>
  </si>
  <si>
    <t>Psychiatric Partial Hospitalization Program</t>
  </si>
  <si>
    <t>ScreeningNewServicesRecommended_10_or_Younger_MedicalPhysicalHealthServices_Accessed_No</t>
  </si>
  <si>
    <t>Family-based Mental Health Services (FBMHS)</t>
  </si>
  <si>
    <t>ScreeningNewServicesRecommended_10_or_Younger_MedicalPhysicalHealthServices_Accessed_Dont_Know</t>
  </si>
  <si>
    <t>Intensive Behavioral Health Services (IBHS)</t>
  </si>
  <si>
    <t>ScreeningNewServicesRecommended_10_or_Younger_OtherRecommendation_Accessed_Yes</t>
  </si>
  <si>
    <t>Psychiatric Residential Treatment Facility</t>
  </si>
  <si>
    <t>ScreeningNewServicesRecommended_10_or_Younger_OtherRecommendation_Accessed_No</t>
  </si>
  <si>
    <t>Psychiatric Inpatient Hospitalization</t>
  </si>
  <si>
    <t>ScreeningNewServicesRecommended_10_or_Younger_OtherRecommendation_Accessed_Dont_Know</t>
  </si>
  <si>
    <t>ScreeningNewServicesRecommended_11_to_13_DrugandAlcholholAssessment_Accessed_Yes</t>
  </si>
  <si>
    <r>
      <rPr>
        <b/>
        <sz val="12"/>
        <rFont val="Calibri"/>
        <family val="2"/>
        <scheme val="minor"/>
      </rPr>
      <t xml:space="preserve">GROUP CONDITIONS
</t>
    </r>
    <r>
      <rPr>
        <sz val="10"/>
        <color rgb="FFFF0000"/>
        <rFont val="Calibri"/>
        <family val="2"/>
        <scheme val="minor"/>
      </rPr>
      <t xml:space="preserve">
●</t>
    </r>
    <r>
      <rPr>
        <sz val="10"/>
        <color theme="1"/>
        <rFont val="Calibri"/>
        <family val="2"/>
        <scheme val="minor"/>
      </rPr>
      <t xml:space="preserve"> If </t>
    </r>
    <r>
      <rPr>
        <b/>
        <sz val="10"/>
        <color theme="1"/>
        <rFont val="Calibri"/>
        <family val="2"/>
        <scheme val="minor"/>
      </rPr>
      <t>ScreeningResults_11_to_13_New_Services_Recommended</t>
    </r>
    <r>
      <rPr>
        <sz val="10"/>
        <color theme="1"/>
        <rFont val="Calibri"/>
        <family val="2"/>
        <scheme val="minor"/>
      </rPr>
      <t xml:space="preserve"> is </t>
    </r>
    <r>
      <rPr>
        <b/>
        <sz val="10"/>
        <color theme="1"/>
        <rFont val="Calibri"/>
        <family val="2"/>
        <scheme val="minor"/>
      </rPr>
      <t>0</t>
    </r>
    <r>
      <rPr>
        <sz val="10"/>
        <color theme="1"/>
        <rFont val="Calibri"/>
        <family val="2"/>
        <scheme val="minor"/>
      </rPr>
      <t xml:space="preserve">, then all 27 </t>
    </r>
    <r>
      <rPr>
        <b/>
        <sz val="10"/>
        <color theme="1"/>
        <rFont val="Calibri"/>
        <family val="2"/>
        <scheme val="minor"/>
      </rPr>
      <t>ScreeningNewServicesRecommended_11_to_13</t>
    </r>
    <r>
      <rPr>
        <sz val="10"/>
        <color theme="1"/>
        <rFont val="Calibri"/>
        <family val="2"/>
        <scheme val="minor"/>
      </rPr>
      <t xml:space="preserve"> fields must be </t>
    </r>
    <r>
      <rPr>
        <b/>
        <sz val="10"/>
        <color theme="1"/>
        <rFont val="Calibri"/>
        <family val="2"/>
        <scheme val="minor"/>
      </rPr>
      <t>0</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t>
    </r>
    <r>
      <rPr>
        <b/>
        <sz val="10"/>
        <color theme="1"/>
        <rFont val="Calibri"/>
        <family val="2"/>
        <scheme val="minor"/>
      </rPr>
      <t>:{</t>
    </r>
    <r>
      <rPr>
        <sz val="10"/>
        <color theme="1"/>
        <rFont val="Calibri"/>
        <family val="2"/>
        <scheme val="minor"/>
      </rPr>
      <t xml:space="preserve">
ScreeningNewServicesRecommended_11_to_13_DrugandAlcholholAssessment_Accessed_Yes
ScreeningNewServicesRecommended_11_to_13_DrugandAlcholholAssessment_Accessed_No
ScreeningNewServicesRecommended_11_to_13_DrugandAlcholholAssessment_Accessed_Dont_Know
ScreeningNewServicesRecommended_11_to_13_MentalHealthAssessment_Accessed_Yes
ScreeningNewServicesRecommended_11_to_13_MentalHealthAssessment_Accessed_No
ScreeningNewServicesRecommended_11_to_13_MentalHealthAssessment_Accessed_Dont_Know
ScreeningNewServicesRecommended_11_to_13_CoOccurringAssessment_Accessed_Yes
ScreeningNewServicesRecommended_11_to_13_CoOccurringAssessment_Accessed_No
ScreeningNewServicesRecommended_11_to_13_CoOccurringAssessment_Accessed_Dont_Know
ScreeningNewServicesRecommended_11_to_13_InSchoolSupportServices_Accessed_Yes
ScreeningNewServicesRecommended_11_to_13_InSchoolSupportServices_Accessed_No
ScreeningNewServicesRecommended_11_to_13_InSchoolSupportServices_Accessed_Dont_Know
ScreeningNewServicesRecommended_11_to_13_LiaisonSupportServices_Accessed_Yes
ScreeningNewServicesRecommended_11_to_13_LiaisonSupportServices_Accessed_No
ScreeningNewServicesRecommended_11_to_13_LiaisonSupportServices_Accessed_Dont_Know
ScreeningNewServicesRecommended_11_to_13_CommunityBasedSupportServices_Accessed_Yes
ScreeningNewServicesRecommended_11_to_13_CommunityBasedSupportServices_Accessed_No
ScreeningNewServicesRecommended_11_to_13_CommunityBasedSupportServices_Accessed_Dont_Know
ScreeningNewServicesRecommended_11_to_13_CrisisInterventionServices_Accessed_Yes
ScreeningNewServicesRecommended_11_to_13_CrisisInterventionServices_Accessed_No
ScreeningNewServicesRecommended_11_to_13_CrisisInterventionServices_Accessed_Dont_Know
ScreeningNewServicesRecommended_11_to_13_MedicalPhysicalHealthServices_Accessed_Yes
ScreeningNewServicesRecommended_11_to_13_MedicalPhysicalHealthServices_Accessed_No
ScreeningNewServicesRecommended_11_to_13_MedicalPhysicalHealthServices_Accessed_Dont_Know
ScreeningNewServicesRecommended_11_to_13_OtherRecommendation_Accessed_Yes
ScreeningNewServicesRecommended_11_to_13_OtherRecommendation_Accessed_No
ScreeningNewServicesRecommended_11_to_13_OtherRecommendation_Accessed_Dont_Know</t>
    </r>
    <r>
      <rPr>
        <b/>
        <sz val="10"/>
        <color theme="1"/>
        <rFont val="Calibri"/>
        <family val="2"/>
        <scheme val="minor"/>
      </rPr>
      <t>}</t>
    </r>
    <r>
      <rPr>
        <sz val="10"/>
        <color theme="1"/>
        <rFont val="Calibri"/>
        <family val="2"/>
        <scheme val="minor"/>
      </rPr>
      <t xml:space="preserve">
must greater or equal to </t>
    </r>
    <r>
      <rPr>
        <b/>
        <sz val="10"/>
        <color theme="1"/>
        <rFont val="Calibri"/>
        <family val="2"/>
        <scheme val="minor"/>
      </rPr>
      <t>ScreeningResults_11_to_13_New_Services_Recommended</t>
    </r>
  </si>
  <si>
    <t>ScreeningNewServicesRecommended_11_to_13_DrugandAlcholholAssessment_Accessed_No</t>
  </si>
  <si>
    <t>Reason for Not Accessing Assessment Recommendation</t>
  </si>
  <si>
    <t>ScreeningNewServicesRecommended_11_to_13_DrugandAlcholholAssessment_Accessed_Dont_Know</t>
  </si>
  <si>
    <t>PAGE 8</t>
  </si>
  <si>
    <t>Non-Treatment Supports/General</t>
  </si>
  <si>
    <t>Drug &amp; Alcohol</t>
  </si>
  <si>
    <t>Mental Health Treatment</t>
  </si>
  <si>
    <t>ScreeningNewServicesRecommended_11_to_13_MentalHealthAssessment_Accessed_Yes</t>
  </si>
  <si>
    <t>ScreeningNewServicesRecommended_11_to_13_MentalHealthAssessment_Accessed_No</t>
  </si>
  <si>
    <t>ScreeningNewServicesRecommended_11_to_13_MentalHealthAssessment_Accessed_Dont_Know</t>
  </si>
  <si>
    <t>ScreeningNewServicesRecommended_11_to_13_CoOccurringAssessment_Accessed_Yes</t>
  </si>
  <si>
    <t>ScreeningNewServicesRecommended_11_to_13_CoOccurringAssessment_Accessed_No</t>
  </si>
  <si>
    <t>ScreeningNewServicesRecommended_11_to_13_CoOccurringAssessment_Accessed_Dont_Know</t>
  </si>
  <si>
    <t>ScreeningNewServicesRecommended_11_to_13_InSchoolSupportServices_Accessed_Yes</t>
  </si>
  <si>
    <t>ScreeningNewServicesRecommended_11_to_13_InSchoolSupportServices_Accessed_No</t>
  </si>
  <si>
    <t>ScreeningNewServicesRecommended_11_to_13_InSchoolSupportServices_Accessed_Dont_Know</t>
  </si>
  <si>
    <t>ScreeningNewServicesRecommended_11_to_13_LiaisonSupportServices_Accessed_Yes</t>
  </si>
  <si>
    <t>ScreeningNewServicesRecommended_11_to_13_LiaisonSupportServices_Accessed_No</t>
  </si>
  <si>
    <t>ScreeningNewServicesRecommended_11_to_13_LiaisonSupportServices_Accessed_Dont_Know</t>
  </si>
  <si>
    <t>ScreeningNewServicesRecommended_11_to_13_CommunityBasedSupportServices_Accessed_Yes</t>
  </si>
  <si>
    <t>ScreeningNewServicesRecommended_11_to_13_CommunityBasedSupportServices_Accessed_No</t>
  </si>
  <si>
    <t>ScreeningNewServicesRecommended_11_to_13_CommunityBasedSupportServices_Accessed_Dont_Know</t>
  </si>
  <si>
    <t>ScreeningNewServicesRecommended_11_to_13_CrisisInterventionServices_Accessed_Yes</t>
  </si>
  <si>
    <t>ScreeningNewServicesRecommended_11_to_13_CrisisInterventionServices_Accessed_No</t>
  </si>
  <si>
    <t>ScreeningNewServicesRecommended_11_to_13_CrisisInterventionServices_Accessed_Dont_Know</t>
  </si>
  <si>
    <t>ScreeningNewServicesRecommended_11_to_13_MedicalPhysicalHealthServices_Accessed_Yes</t>
  </si>
  <si>
    <t>ScreeningNewServicesRecommended_11_to_13_MedicalPhysicalHealthServices_Accessed_No</t>
  </si>
  <si>
    <t>ScreeningNewServicesRecommended_11_to_13_MedicalPhysicalHealthServices_Accessed_Dont_Know</t>
  </si>
  <si>
    <t>ScreeningNewServicesRecommended_11_to_13_OtherRecommendation_Accessed_Yes</t>
  </si>
  <si>
    <t>ScreeningNewServicesRecommended_11_to_13_OtherRecommendation_Accessed_No</t>
  </si>
  <si>
    <t>ScreeningNewServicesRecommended_11_to_13_OtherRecommendation_Accessed_Dont_Know</t>
  </si>
  <si>
    <t>ScreeningNewServicesRecommended_14_and_Older_DrugandAlcholholAssessment_Accessed_Yes</t>
  </si>
  <si>
    <r>
      <rPr>
        <b/>
        <sz val="12"/>
        <rFont val="Calibri"/>
        <family val="2"/>
        <scheme val="minor"/>
      </rPr>
      <t>GROUP CONDITIONS</t>
    </r>
    <r>
      <rPr>
        <sz val="10"/>
        <color rgb="FFFF0000"/>
        <rFont val="Calibri"/>
        <family val="2"/>
        <scheme val="minor"/>
      </rPr>
      <t xml:space="preserve">
●</t>
    </r>
    <r>
      <rPr>
        <sz val="10"/>
        <color theme="1"/>
        <rFont val="Calibri"/>
        <family val="2"/>
        <scheme val="minor"/>
      </rPr>
      <t xml:space="preserve"> If </t>
    </r>
    <r>
      <rPr>
        <b/>
        <sz val="10"/>
        <color theme="1"/>
        <rFont val="Calibri"/>
        <family val="2"/>
        <scheme val="minor"/>
      </rPr>
      <t>ScreeningResults_14_and_Older_New_Services_Recommended</t>
    </r>
    <r>
      <rPr>
        <sz val="10"/>
        <color theme="1"/>
        <rFont val="Calibri"/>
        <family val="2"/>
        <scheme val="minor"/>
      </rPr>
      <t xml:space="preserve"> is </t>
    </r>
    <r>
      <rPr>
        <b/>
        <sz val="10"/>
        <color theme="1"/>
        <rFont val="Calibri"/>
        <family val="2"/>
        <scheme val="minor"/>
      </rPr>
      <t>0</t>
    </r>
    <r>
      <rPr>
        <sz val="10"/>
        <color theme="1"/>
        <rFont val="Calibri"/>
        <family val="2"/>
        <scheme val="minor"/>
      </rPr>
      <t>, then all 27</t>
    </r>
    <r>
      <rPr>
        <b/>
        <sz val="10"/>
        <color theme="1"/>
        <rFont val="Calibri"/>
        <family val="2"/>
        <scheme val="minor"/>
      </rPr>
      <t xml:space="preserve"> ScreeningNewServicesRecommended_14_and_Older</t>
    </r>
    <r>
      <rPr>
        <sz val="10"/>
        <color theme="1"/>
        <rFont val="Calibri"/>
        <family val="2"/>
        <scheme val="minor"/>
      </rPr>
      <t xml:space="preserve"> fields must be </t>
    </r>
    <r>
      <rPr>
        <b/>
        <sz val="10"/>
        <color theme="1"/>
        <rFont val="Calibri"/>
        <family val="2"/>
        <scheme val="minor"/>
      </rPr>
      <t>0</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t>
    </r>
    <r>
      <rPr>
        <b/>
        <sz val="10"/>
        <color theme="1"/>
        <rFont val="Calibri"/>
        <family val="2"/>
        <scheme val="minor"/>
      </rPr>
      <t>{</t>
    </r>
    <r>
      <rPr>
        <sz val="10"/>
        <color theme="1"/>
        <rFont val="Calibri"/>
        <family val="2"/>
        <scheme val="minor"/>
      </rPr>
      <t xml:space="preserve">
ScreeningNewServicesRecommended_14_and_Older_DrugandAlcholholAssessment_Accessed_Yes
ScreeningNewServicesRecommended_14_and_Older_DrugandAlcholholAssessment_Accessed_No
ScreeningNewServicesRecommended_14_and_Older_DrugandAlcholholAssessment_Accessed_Dont_Know
ScreeningNewServicesRecommended_14_and_Older_MentalHealthAssessment_Accessed_Yes
ScreeningNewServicesRecommended_14_and_Older_MentalHealthAssessment_Accessed_No
ScreeningNewServicesRecommended_14_and_Older_MentalHealthAssessment_Accessed_Dont_Know
ScreeningNewServicesRecommended_14_and_Older_CoOccurringAssessment_Accessed_Yes
ScreeningNewServicesRecommended_14_and_Older_CoOccurringAssessment_Accessed_No
ScreeningNewServicesRecommended_14_and_Older_CoOccurringAssessment_Accessed_Dont_Know
ScreeningNewServicesRecommended_14_and_Older_InSchoolSupportServices_Accessed_Yes
ScreeningNewServicesRecommended_14_and_Older_InSchoolSupportServices_Accessed_No
ScreeningNewServicesRecommended_14_and_Older_InSchoolSupportServices_Accessed_Dont_Know
ScreeningNewServicesRecommended_14_and_Older_LiaisonSupportServices_Accessed_Yes
ScreeningNewServicesRecommended_14_and_Older_LiaisonSupportServices_Accessed_No
ScreeningNewServicesRecommended_14_and_Older_LiaisonSupportServices_Accessed_Dont_Know
ScreeningNewServicesRecommended_14_and_Older_CommunityBasedSupportServices_Accessed_Yes
ScreeningNewServicesRecommended_14_and_Older_CommunityBasedSupportServices_Accessed_No
ScreeningNewServicesRecommended_14_and_Older_CommunityBasedSupportServices_Accessed_Dont_Know
ScreeningNewServicesRecommended_14_and_Older_CrisisInterventionServices_Accessed_Yes
ScreeningNewServicesRecommended_14_and_Older_CrisisInterventionServices_Accessed_No
ScreeningNewServicesRecommended_14_and_Older_CrisisInterventionServices_Accessed_Dont_Know
ScreeningNewServicesRecommended_14_and_Older_MedicalPhysicalHealthServices_Accessed_Yes
ScreeningNewServicesRecommended_14_and_Older_MedicalPhysicalHealthServices_Accessed_No
ScreeningNewServicesRecommended_14_and_Older_MedicalPhysicalHealthServices_Accessed_Dont_Know
ScreeningNewServicesRecommended_14_and_Older_OtherRecommendation_Accessed_Yes
ScreeningNewServicesRecommended_14_and_Older_OtherRecommendation_Accessed_No
ScreeningNewServicesRecommended_14_and_Older_OtherRecommendation_Accessed_Dont_Know</t>
    </r>
    <r>
      <rPr>
        <b/>
        <sz val="10"/>
        <color theme="1"/>
        <rFont val="Calibri"/>
        <family val="2"/>
        <scheme val="minor"/>
      </rPr>
      <t>}</t>
    </r>
    <r>
      <rPr>
        <sz val="10"/>
        <color theme="1"/>
        <rFont val="Calibri"/>
        <family val="2"/>
        <scheme val="minor"/>
      </rPr>
      <t xml:space="preserve">
must greater or equal to </t>
    </r>
    <r>
      <rPr>
        <b/>
        <sz val="10"/>
        <color theme="1"/>
        <rFont val="Calibri"/>
        <family val="2"/>
        <scheme val="minor"/>
      </rPr>
      <t>ScreeningResults_14_and_Older_New_Services_Recommended</t>
    </r>
    <r>
      <rPr>
        <sz val="10"/>
        <color theme="1"/>
        <rFont val="Calibri"/>
        <family val="2"/>
        <scheme val="minor"/>
      </rPr>
      <t xml:space="preserve">
</t>
    </r>
  </si>
  <si>
    <t>ScreeningNewServicesRecommended_14_and_Older_DrugandAlcholholAssessment_Accessed_No</t>
  </si>
  <si>
    <t>ScreeningNewServicesRecommended_14_and_Older_DrugandAlcholholAssessment_Accessed_Dont_Know</t>
  </si>
  <si>
    <t>ScreeningNewServicesRecommended_14_and_Older_MentalHealthAssessment_Accessed_Yes</t>
  </si>
  <si>
    <t>ScreeningNewServicesRecommended_14_and_Older_MentalHealthAssessment_Accessed_No</t>
  </si>
  <si>
    <t>ScreeningNewServicesRecommended_14_and_Older_MentalHealthAssessment_Accessed_Dont_Know</t>
  </si>
  <si>
    <t>ScreeningNewServicesRecommended_14_and_Older_CoOccurringAssessment_Accessed_Yes</t>
  </si>
  <si>
    <t>ScreeningNewServicesRecommended_14_and_Older_CoOccurringAssessment_Accessed_No</t>
  </si>
  <si>
    <t>ScreeningNewServicesRecommended_14_and_Older_CoOccurringAssessment_Accessed_Dont_Know</t>
  </si>
  <si>
    <t>ScreeningNewServicesRecommended_14_and_Older_InSchoolSupportServices_Accessed_Yes</t>
  </si>
  <si>
    <t>ScreeningNewServicesRecommended_14_and_Older_InSchoolSupportServices_Accessed_No</t>
  </si>
  <si>
    <t>ScreeningNewServicesRecommended_14_and_Older_InSchoolSupportServices_Accessed_Dont_Know</t>
  </si>
  <si>
    <t>ScreeningNewServicesRecommended_14_and_Older_LiaisonSupportServices_Accessed_Yes</t>
  </si>
  <si>
    <t>ScreeningNewServicesRecommended_14_and_Older_LiaisonSupportServices_Accessed_No</t>
  </si>
  <si>
    <t>ScreeningNewServicesRecommended_14_and_Older_LiaisonSupportServices_Accessed_Dont_Know</t>
  </si>
  <si>
    <t>ScreeningNewServicesRecommended_14_and_Older_CommunityBasedSupportServices_Accessed_Yes</t>
  </si>
  <si>
    <t>ScreeningNewServicesRecommended_14_and_Older_CommunityBasedSupportServices_Accessed_No</t>
  </si>
  <si>
    <t>ScreeningNewServicesRecommended_14_and_Older_CommunityBasedSupportServices_Accessed_Dont_Know</t>
  </si>
  <si>
    <t>ScreeningNewServicesRecommended_14_and_Older_CrisisInterventionServices_Accessed_Yes</t>
  </si>
  <si>
    <t>ScreeningNewServicesRecommended_14_and_Older_CrisisInterventionServices_Accessed_No</t>
  </si>
  <si>
    <t>ScreeningNewServicesRecommended_14_and_Older_CrisisInterventionServices_Accessed_Dont_Know</t>
  </si>
  <si>
    <t>ScreeningNewServicesRecommended_14_and_Older_MedicalPhysicalHealthServices_Accessed_Yes</t>
  </si>
  <si>
    <t>ScreeningNewServicesRecommended_14_and_Older_MedicalPhysicalHealthServices_Accessed_No</t>
  </si>
  <si>
    <t>ScreeningNewServicesRecommended_14_and_Older_MedicalPhysicalHealthServices_Accessed_Dont_Know</t>
  </si>
  <si>
    <t>ScreeningNewServicesRecommended_14_and_Older_OtherRecommendation_Accessed_Yes</t>
  </si>
  <si>
    <t>ScreeningNewServicesRecommended_14_and_Older_OtherRecommendation_Accessed_No</t>
  </si>
  <si>
    <t>ScreeningNewServicesRecommended_14_and_Older_OtherRecommendation_Accessed_Dont_Know</t>
  </si>
  <si>
    <r>
      <t xml:space="preserve">Enter a count for the PRIMARY reason for not accessing EACH recommended service.  A student recommended to multiple services can be counted more than once if the primary reason for not accessing each service is different. </t>
    </r>
    <r>
      <rPr>
        <b/>
        <i/>
        <sz val="10"/>
        <color theme="1"/>
        <rFont val="Calibri"/>
        <family val="2"/>
        <scheme val="minor"/>
      </rPr>
      <t>For example, if a student is referred for a mental health assessment and to a community-based mentoring program and does not access the assessment due to parent refusal and does not access the community-based program due to lack of transportation, then the student would be included in the total count for both parent refusal and lack of transportation.</t>
    </r>
  </si>
  <si>
    <t>ReasonScreeningRecommendationNotAccessed_InsuranceIssuesUnableToPay</t>
  </si>
  <si>
    <r>
      <rPr>
        <b/>
        <sz val="12"/>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the </t>
    </r>
    <r>
      <rPr>
        <b/>
        <sz val="10"/>
        <color theme="1"/>
        <rFont val="Calibri"/>
        <family val="2"/>
        <scheme val="minor"/>
      </rPr>
      <t>ReasonScreeningRecommendationNotAccessed_X</t>
    </r>
    <r>
      <rPr>
        <sz val="10"/>
        <color theme="1"/>
        <rFont val="Calibri"/>
        <family val="2"/>
        <scheme val="minor"/>
      </rPr>
      <t xml:space="preserve"> fields must be equal to the sum of the following fields</t>
    </r>
    <r>
      <rPr>
        <b/>
        <sz val="10"/>
        <color theme="1"/>
        <rFont val="Calibri"/>
        <family val="2"/>
        <scheme val="minor"/>
      </rPr>
      <t>(</t>
    </r>
    <r>
      <rPr>
        <sz val="10"/>
        <color theme="1"/>
        <rFont val="Calibri"/>
        <family val="2"/>
        <scheme val="minor"/>
      </rPr>
      <t xml:space="preserve">:
ScreeningNewServicesRecommended_10_or_Younger_DrugandAlcholholAssessment_Accessed_No
ScreeningNewServicesRecommended_10_or_Younger_MentalHealthAssessment_Accessed_No
ScreeningNewServicesRecommended_10_or_Younger_CoOccurringAssessment_Accessed_No
ScreeningNewServicesRecommended_10_or_Younger_InSchoolSupportServices_Accessed_No
ScreeningNewServicesRecommended_10_or_Younger_LiaisonSupportServices_Accessed_No
ScreeningNewServicesRecommended_10_or_Younger_CommunityBasedSupportServices_Accessed_No
ScreeningNewServicesRecommended_10_or_Younger_CrisisInterventionServices_Accessed_No
ScreeningNewServicesRecommended_10_or_Younger_MedicalPhysicalHealthServices_Accessed_No
ScreeningNewServicesRecommended_10_or_Younger_OtherRecommendation_Accessed_No
ScreeningNewServicesRecommended_11_to_13_DrugandAlcholholAssessment_Accessed_No
ScreeningNewServicesRecommended_11_to_13_MentalHealthAssessment_Accessed_No
ScreeningNewServicesRecommended_11_to_13_CoOccurringAssessment_Accessed_No
ScreeningNewServicesRecommended_11_to_13_InSchoolSupportServices_Accessed_No
ScreeningNewServicesRecommended_11_to_13_LiaisonSupportServices_Accessed_No
ScreeningNewServicesRecommended_11_to_13_CommunityBasedSupportServices_Accessed_No
ScreeningNewServicesRecommended_11_to_13_CrisisInterventionServices_Accessed_No
ScreeningNewServicesRecommended_11_to_13_MedicalPhysicalHealthServices_Accessed_No
ScreeningNewServicesRecommended_11_to_13_OtherRecommendation_Accessed_No
ScreeningNewServicesRecommended_14_and_Older_DrugandAlcholholAssessment_Accessed_No
ScreeningNewServicesRecommended_14_and_Older_MentalHealthAssessment_Accessed_No
ScreeningNewServicesRecommended_14_and_Older_CoOccurringAssessment_Accessed_No
ScreeningNewServicesRecommended_14_and_Older_InSchoolSupportServices_Accessed_No
ScreeningNewServicesRecommended_14_and_Older_LiaisonSupportServices_Accessed_No
ScreeningNewServicesRecommended_14_and_Older_CommunityBasedSupportServices_Accessed_No
ScreeningNewServicesRecommended_14_and_Older_CrisisInterventionServices_Accessed_No
ScreeningNewServicesRecommended_14_and_Older_MedicalPhysicalHealthServices_Accessed_No
ScreeningNewServicesRecommended_14_and_Older_OtherRecommendation_Accessed_No </t>
    </r>
    <r>
      <rPr>
        <b/>
        <sz val="10"/>
        <color theme="1"/>
        <rFont val="Calibri"/>
        <family val="2"/>
        <scheme val="minor"/>
      </rPr>
      <t>}</t>
    </r>
    <r>
      <rPr>
        <sz val="10"/>
        <color theme="1"/>
        <rFont val="Calibri"/>
        <family val="2"/>
        <scheme val="minor"/>
      </rPr>
      <t xml:space="preserve">
</t>
    </r>
    <r>
      <rPr>
        <sz val="10"/>
        <color rgb="FFFF0000"/>
        <rFont val="Calibri"/>
        <family val="2"/>
        <scheme val="minor"/>
      </rPr>
      <t xml:space="preserve">● </t>
    </r>
    <r>
      <rPr>
        <sz val="10"/>
        <color theme="1"/>
        <rFont val="Calibri"/>
        <family val="2"/>
        <scheme val="minor"/>
      </rPr>
      <t xml:space="preserve">If the above 27 fields are all </t>
    </r>
    <r>
      <rPr>
        <b/>
        <sz val="10"/>
        <color theme="1"/>
        <rFont val="Calibri"/>
        <family val="2"/>
        <scheme val="minor"/>
      </rPr>
      <t>0</t>
    </r>
    <r>
      <rPr>
        <sz val="10"/>
        <color theme="1"/>
        <rFont val="Calibri"/>
        <family val="2"/>
        <scheme val="minor"/>
      </rPr>
      <t xml:space="preserve">, than all </t>
    </r>
    <r>
      <rPr>
        <b/>
        <sz val="10"/>
        <color theme="1"/>
        <rFont val="Calibri"/>
        <family val="2"/>
        <scheme val="minor"/>
      </rPr>
      <t xml:space="preserve">ReasonScreeningRecommendationNotAccessed_X </t>
    </r>
    <r>
      <rPr>
        <sz val="10"/>
        <color theme="1"/>
        <rFont val="Calibri"/>
        <family val="2"/>
        <scheme val="minor"/>
      </rPr>
      <t xml:space="preserve">fields must be marked </t>
    </r>
    <r>
      <rPr>
        <b/>
        <sz val="10"/>
        <color theme="1"/>
        <rFont val="Calibri"/>
        <family val="2"/>
        <scheme val="minor"/>
      </rPr>
      <t>0</t>
    </r>
  </si>
  <si>
    <t>ReasonScreeningRecommendationNotAccessed_LackOfTransportation</t>
  </si>
  <si>
    <t>ReasonScreeningRecommendationNotAccessed_StudentRefusal</t>
  </si>
  <si>
    <t>ReasonScreeningRecommendationNotAccessed_ParentGuardianInactionOrRefusal</t>
  </si>
  <si>
    <t>ReasonScreeningRecommendationNotAccessed_ClientWaitingList</t>
  </si>
  <si>
    <t>ReasonScreeningRecommendationNotAccessed_ReasonUnknown</t>
  </si>
  <si>
    <t>ReasonScreeningRecommendationNotAccessed_Other</t>
  </si>
  <si>
    <t>Assessment Data</t>
  </si>
  <si>
    <r>
      <rPr>
        <b/>
        <sz val="12"/>
        <color theme="1"/>
        <rFont val="Calibri"/>
        <family val="2"/>
        <scheme val="minor"/>
      </rPr>
      <t xml:space="preserve">Section Synopsis - </t>
    </r>
    <r>
      <rPr>
        <sz val="12"/>
        <color theme="1"/>
        <rFont val="Calibri"/>
        <family val="2"/>
        <scheme val="minor"/>
      </rPr>
      <t xml:space="preserve">Captures information associated to assessments
</t>
    </r>
    <r>
      <rPr>
        <sz val="11"/>
        <color rgb="FFFF0000"/>
        <rFont val="Calibri"/>
        <family val="2"/>
        <scheme val="minor"/>
      </rPr>
      <t>●</t>
    </r>
    <r>
      <rPr>
        <sz val="11"/>
        <color theme="1"/>
        <rFont val="Calibri"/>
        <family val="2"/>
        <scheme val="minor"/>
      </rPr>
      <t xml:space="preserve"> If </t>
    </r>
    <r>
      <rPr>
        <b/>
        <sz val="11"/>
        <color theme="1"/>
        <rFont val="Calibri"/>
        <family val="2"/>
        <scheme val="minor"/>
      </rPr>
      <t>Liaison_Role_Assessment</t>
    </r>
    <r>
      <rPr>
        <sz val="11"/>
        <color theme="1"/>
        <rFont val="Calibri"/>
        <family val="2"/>
        <scheme val="minor"/>
      </rPr>
      <t xml:space="preserve"> is </t>
    </r>
    <r>
      <rPr>
        <b/>
        <sz val="11"/>
        <color theme="1"/>
        <rFont val="Calibri"/>
        <family val="2"/>
        <scheme val="minor"/>
      </rPr>
      <t>0</t>
    </r>
    <r>
      <rPr>
        <sz val="11"/>
        <color theme="1"/>
        <rFont val="Calibri"/>
        <family val="2"/>
        <scheme val="minor"/>
      </rPr>
      <t xml:space="preserve">, all data elements in section must be marked </t>
    </r>
    <r>
      <rPr>
        <b/>
        <sz val="11"/>
        <color theme="1"/>
        <rFont val="Calibri"/>
        <family val="2"/>
        <scheme val="minor"/>
      </rPr>
      <t>NULL</t>
    </r>
    <r>
      <rPr>
        <sz val="11"/>
        <color theme="1"/>
        <rFont val="Calibri"/>
        <family val="2"/>
        <scheme val="minor"/>
      </rPr>
      <t xml:space="preserve"> 
</t>
    </r>
    <r>
      <rPr>
        <sz val="11"/>
        <color rgb="FFFF0000"/>
        <rFont val="Calibri"/>
        <family val="2"/>
        <scheme val="minor"/>
      </rPr>
      <t>●</t>
    </r>
    <r>
      <rPr>
        <sz val="11"/>
        <color theme="1"/>
        <rFont val="Calibri"/>
        <family val="2"/>
        <scheme val="minor"/>
      </rPr>
      <t xml:space="preserve"> If </t>
    </r>
    <r>
      <rPr>
        <b/>
        <sz val="11"/>
        <color theme="1"/>
        <rFont val="Calibri"/>
        <family val="2"/>
        <scheme val="minor"/>
      </rPr>
      <t>Liaison_Role_Assessmen</t>
    </r>
    <r>
      <rPr>
        <sz val="11"/>
        <color theme="1"/>
        <rFont val="Calibri"/>
        <family val="2"/>
        <scheme val="minor"/>
      </rPr>
      <t xml:space="preserve">t is </t>
    </r>
    <r>
      <rPr>
        <b/>
        <sz val="11"/>
        <color theme="1"/>
        <rFont val="Calibri"/>
        <family val="2"/>
        <scheme val="minor"/>
      </rPr>
      <t>1</t>
    </r>
    <r>
      <rPr>
        <sz val="11"/>
        <color theme="1"/>
        <rFont val="Calibri"/>
        <family val="2"/>
        <scheme val="minor"/>
      </rPr>
      <t xml:space="preserve">, all data elements in section must be answered.  Enter </t>
    </r>
    <r>
      <rPr>
        <b/>
        <sz val="11"/>
        <color theme="1"/>
        <rFont val="Calibri"/>
        <family val="2"/>
        <scheme val="minor"/>
      </rPr>
      <t>0</t>
    </r>
    <r>
      <rPr>
        <sz val="11"/>
        <color theme="1"/>
        <rFont val="Calibri"/>
        <family val="2"/>
        <scheme val="minor"/>
      </rPr>
      <t xml:space="preserve"> to indicate no data
</t>
    </r>
  </si>
  <si>
    <t xml:space="preserve">Enter the number of students assessed by age group, gender, and race/ethnicity in the table below.  </t>
  </si>
  <si>
    <t>Assessed_White_10_or_Younger_Male</t>
  </si>
  <si>
    <r>
      <rPr>
        <sz val="10"/>
        <color rgb="FFFF0000"/>
        <rFont val="Calibri"/>
        <family val="2"/>
        <scheme val="minor"/>
      </rPr>
      <t>●</t>
    </r>
    <r>
      <rPr>
        <sz val="10"/>
        <color theme="1"/>
        <rFont val="Calibri"/>
        <family val="2"/>
        <scheme val="minor"/>
      </rPr>
      <t xml:space="preserve"> Must be answered if "</t>
    </r>
    <r>
      <rPr>
        <b/>
        <sz val="10"/>
        <color theme="1"/>
        <rFont val="Calibri"/>
        <family val="2"/>
        <scheme val="minor"/>
      </rPr>
      <t>Liaison_Role_Assessment</t>
    </r>
    <r>
      <rPr>
        <sz val="10"/>
        <color theme="1"/>
        <rFont val="Calibri"/>
        <family val="2"/>
        <scheme val="minor"/>
      </rPr>
      <t xml:space="preserve">" is marked 1
</t>
    </r>
    <r>
      <rPr>
        <sz val="10"/>
        <color rgb="FFFF0000"/>
        <rFont val="Calibri"/>
        <family val="2"/>
        <scheme val="minor"/>
      </rPr>
      <t>●</t>
    </r>
    <r>
      <rPr>
        <sz val="10"/>
        <color theme="1"/>
        <rFont val="Calibri"/>
        <family val="2"/>
        <scheme val="minor"/>
      </rPr>
      <t xml:space="preserve"> Must be "NULL" if "</t>
    </r>
    <r>
      <rPr>
        <b/>
        <sz val="10"/>
        <color theme="1"/>
        <rFont val="Calibri"/>
        <family val="2"/>
        <scheme val="minor"/>
      </rPr>
      <t>Liaison_Role_Assessment</t>
    </r>
    <r>
      <rPr>
        <sz val="10"/>
        <color theme="1"/>
        <rFont val="Calibri"/>
        <family val="2"/>
        <scheme val="minor"/>
      </rPr>
      <t>" is marked 0</t>
    </r>
  </si>
  <si>
    <t>Assessed_White_10_or_Younger_Female</t>
  </si>
  <si>
    <t>Assessed_White_10_or_Younger_Other_Gender</t>
  </si>
  <si>
    <t>Assessed_White_11_to_13_Male</t>
  </si>
  <si>
    <t>Assessed_White_11_to_13_Female</t>
  </si>
  <si>
    <t>Assessed_White_11_to_13_Other_Gender</t>
  </si>
  <si>
    <t>Assessed_White_14_and_Older_Male</t>
  </si>
  <si>
    <t>Assessed_White_14_and_Older_Female</t>
  </si>
  <si>
    <t>Assessed_White_14_and_Older_Other_Gender</t>
  </si>
  <si>
    <t>Assessed_Black_10_or_Younger_Male</t>
  </si>
  <si>
    <t>Assessed_Black_10_or_Younger_Female</t>
  </si>
  <si>
    <t>Assessed_Black_10_or_Younger_Other_Gender</t>
  </si>
  <si>
    <t>Assessed_Black_11_to_13_Male</t>
  </si>
  <si>
    <t>Assessed_Black_11_to_13_Female</t>
  </si>
  <si>
    <t>Assessed_Black_11_to_13_Other_Gender</t>
  </si>
  <si>
    <t>Assessed_Black_14_and_Older_Male</t>
  </si>
  <si>
    <t>Assessed_Black_14_and_Older_Female</t>
  </si>
  <si>
    <t>Assessed_Black_14_and_Older_Other_Gender</t>
  </si>
  <si>
    <t>Assessed_Hispanic_10_or_Younger_Male</t>
  </si>
  <si>
    <t>Assessed_Hispanic_10_or_Younger_Female</t>
  </si>
  <si>
    <t>Assessed_Hispanic_10_or_Younger_Other_Gender</t>
  </si>
  <si>
    <t>Assessed_Hispanic_11_to_13_Male</t>
  </si>
  <si>
    <t>Assessed_Hispanic_11_to_13_Female</t>
  </si>
  <si>
    <t>Assessed_Hispanic_11_to_13_Other_Gender</t>
  </si>
  <si>
    <t>Assessed_Hispanic_14_and_Older_Male</t>
  </si>
  <si>
    <t>Assessed_Hispanic_14_and_Older_Female</t>
  </si>
  <si>
    <t>Assessed_Hispanic_14_and_Older_Other_Gender</t>
  </si>
  <si>
    <t>Assessed_Asian_10_or_Younger_Male</t>
  </si>
  <si>
    <t>Assessed_Asian_10_or_Younger_Female</t>
  </si>
  <si>
    <t>Assessed_Asian_10_or_Younger_Other_Gender</t>
  </si>
  <si>
    <t>Assessed_Asian_11_to_13_Male</t>
  </si>
  <si>
    <t>Assessed_Asian_11_to_13_Female</t>
  </si>
  <si>
    <t>Assessed_Asian_11_to_13_Other_Gender</t>
  </si>
  <si>
    <t>Assessed_Asian_14_and_Older_Male</t>
  </si>
  <si>
    <t>Assessed_Asian_14_and_Older_Female</t>
  </si>
  <si>
    <t>Assessed_Asian_14_and_Older_Other_Gender</t>
  </si>
  <si>
    <t>Assessed_AmerIndAlaskNat_10_or_Younger_Male</t>
  </si>
  <si>
    <t>Assessed_AmerIndAlaskNat_10_or_Younger_Female</t>
  </si>
  <si>
    <t>Assessed_AmerIndAlaskNat_10_or_Younger_Other_Gender</t>
  </si>
  <si>
    <t>Assessed_AmerIndAlaskNat_11_to_13_Male</t>
  </si>
  <si>
    <t>Assessed_AmerIndAlaskNat_11_to_13_Female</t>
  </si>
  <si>
    <t>Assessed_AmerIndAlaskNat_11_to_13_Other_Gender</t>
  </si>
  <si>
    <t>Assessed_AmerIndAlaskNat_14_and_Older_Male</t>
  </si>
  <si>
    <t>Assessed_AmerIndAlaskNat_14_and_Older_Female</t>
  </si>
  <si>
    <t>Assessed_AmerIndAlaskNat_14_and_Older_Other_Gender</t>
  </si>
  <si>
    <t>Assessed_Multi_10_or_Younger_Male</t>
  </si>
  <si>
    <t>Assessed_Multi_10_or_Younger_Female</t>
  </si>
  <si>
    <t>Assessed_Multi_10_or_Younger_Other_Gender</t>
  </si>
  <si>
    <t>Assessed_Multi_11_to_13_Male</t>
  </si>
  <si>
    <t>Assessed_Multi_11_to_13_Female</t>
  </si>
  <si>
    <t>Assessed_Multi_11_to_13_Other_Gender</t>
  </si>
  <si>
    <t>Assessed_Multi_14_and_Older_Male</t>
  </si>
  <si>
    <t>Assessed_Multi_14_and_Older_Female</t>
  </si>
  <si>
    <t>Assessed_Multi_14_and_Older_Other_Gender</t>
  </si>
  <si>
    <t>Assessed_NatHawaiinOtherPacIslander_10_or_Younger_Male</t>
  </si>
  <si>
    <t>Assessed_NatHawaiinOtherPacIslander_10_or_Younger_Female</t>
  </si>
  <si>
    <t>Assessed_NatHawaiinOtherPacIslander_10_or_Younger_Other_Gender</t>
  </si>
  <si>
    <t>Assessed_NatHawaiinOtherPacIslander_11_to_13_Male</t>
  </si>
  <si>
    <t>Assessed_NatHawaiinOtherPacIslander_11_to_13_Female</t>
  </si>
  <si>
    <t>Assessed_NatHawaiinOtherPacIslander_11_to_13_Other_Gender</t>
  </si>
  <si>
    <t>Assessed_NatHawaiinOtherPacIslander_14_and_Older_Male</t>
  </si>
  <si>
    <t>Assessed_NatHawaiinOtherPacIslander_14_and_Older_Female</t>
  </si>
  <si>
    <t>Assessed_NatHawaiinOtherPacIslander_14_and_Older_Other_Gender</t>
  </si>
  <si>
    <t>For each age group, enter the number of students who received an assessment in the following categories.  Include each student only ONCE in the count</t>
  </si>
  <si>
    <t xml:space="preserve">AssessmentType_PrimaryDrugandAlcohol_10_or_Younger </t>
  </si>
  <si>
    <r>
      <rPr>
        <b/>
        <sz val="12"/>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
    </r>
    <r>
      <rPr>
        <b/>
        <sz val="10"/>
        <color theme="1"/>
        <rFont val="Calibri"/>
        <family val="2"/>
        <scheme val="minor"/>
      </rPr>
      <t>AssessmentType_PrimaryDrugandAlcohol_10_or_Younger</t>
    </r>
    <r>
      <rPr>
        <sz val="10"/>
        <color theme="1"/>
        <rFont val="Calibri"/>
        <family val="2"/>
        <scheme val="minor"/>
      </rPr>
      <t xml:space="preserve">, </t>
    </r>
    <r>
      <rPr>
        <b/>
        <sz val="10"/>
        <color theme="1"/>
        <rFont val="Calibri"/>
        <family val="2"/>
        <scheme val="minor"/>
      </rPr>
      <t>AssessmentType_PrimaryMentalHealth_10_or_Younge</t>
    </r>
    <r>
      <rPr>
        <sz val="10"/>
        <color theme="1"/>
        <rFont val="Calibri"/>
        <family val="2"/>
        <scheme val="minor"/>
      </rPr>
      <t xml:space="preserve">r  and  </t>
    </r>
    <r>
      <rPr>
        <b/>
        <sz val="10"/>
        <color theme="1"/>
        <rFont val="Calibri"/>
        <family val="2"/>
        <scheme val="minor"/>
      </rPr>
      <t>AssessmentType_PrimaryCoOccuring_10_or_Younger</t>
    </r>
    <r>
      <rPr>
        <sz val="10"/>
        <color theme="1"/>
        <rFont val="Calibri"/>
        <family val="2"/>
        <scheme val="minor"/>
      </rPr>
      <t xml:space="preserve">  must be </t>
    </r>
    <r>
      <rPr>
        <b/>
        <sz val="10"/>
        <color theme="1"/>
        <rFont val="Calibri"/>
        <family val="2"/>
        <scheme val="minor"/>
      </rPr>
      <t>equal</t>
    </r>
    <r>
      <rPr>
        <sz val="10"/>
        <color theme="1"/>
        <rFont val="Calibri"/>
        <family val="2"/>
        <scheme val="minor"/>
      </rPr>
      <t xml:space="preserve"> to the sum of: {
Assessed_White_10_or_Younger_Male,
Assessed_White_10_or_Younger_Female,
Assessed_White_10_or_Younger_Other_Gender,
Assessed_Black_10_or_Younger_Male,
Assessed_Black_10_or_Younger_Female,
Assessed_Black_10_or_Younger_Other_Gender,
Assessed_Hispanic_10_or_Younger_Male,
Assessed_Hispanic_10_or_Younger_Female,
Assessed_Hispanic_10_or_Younger_Other_Gender,
Assessed_Asian_10_or_Younger_Male,
Assessed_Asian_10_or_Younger_Female,
Assessed_Asian_10_or_Younger_Other_Gender,
Assessed_AmerIndAlaskNat_10_or_Younger_Male,
Assessed_AmerIndAlaskNat_10_or_Younger_Female,
Assessed_AmerIndAlaskNat_10_or_Younger_Other_Gender,
Assessed_Multi_10_or_Younger_Male,
Assessed_Multi_10_or_Younger_Female,
Assessed_Multi_10_or_Younger_Other_Gender,
Assessed_NatHawaiinOtherPacIslander_10_or_Younger_Male,
Assessed_NatHawaiinOtherPacIslander_10_or_Younger_Female,
Assessed_NatHawaiinOtherPacIslander_10_or_Younger_Other_Gender}
</t>
    </r>
  </si>
  <si>
    <t xml:space="preserve">AssessmentType_PrimaryMentalHealth_10_or_Younger </t>
  </si>
  <si>
    <t xml:space="preserve">AssessmentType_PrimaryCoOccuring_10_or_Younger </t>
  </si>
  <si>
    <t xml:space="preserve">AssessmentType_PrimaryDrugandAlcohol_11_to_13 </t>
  </si>
  <si>
    <r>
      <rPr>
        <b/>
        <sz val="12"/>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
    </r>
    <r>
      <rPr>
        <b/>
        <sz val="10"/>
        <color theme="1"/>
        <rFont val="Calibri"/>
        <family val="2"/>
        <scheme val="minor"/>
      </rPr>
      <t>AssessmentType_PrimaryDrugandAlcohol_11_to_13</t>
    </r>
    <r>
      <rPr>
        <sz val="10"/>
        <color theme="1"/>
        <rFont val="Calibri"/>
        <family val="2"/>
        <scheme val="minor"/>
      </rPr>
      <t xml:space="preserve">, </t>
    </r>
    <r>
      <rPr>
        <b/>
        <sz val="10"/>
        <color theme="1"/>
        <rFont val="Calibri"/>
        <family val="2"/>
        <scheme val="minor"/>
      </rPr>
      <t>AssessmentType_PrimaryMentalHealth_11_to_13</t>
    </r>
    <r>
      <rPr>
        <sz val="10"/>
        <color theme="1"/>
        <rFont val="Calibri"/>
        <family val="2"/>
        <scheme val="minor"/>
      </rPr>
      <t xml:space="preserve">  and  </t>
    </r>
    <r>
      <rPr>
        <b/>
        <sz val="10"/>
        <color theme="1"/>
        <rFont val="Calibri"/>
        <family val="2"/>
        <scheme val="minor"/>
      </rPr>
      <t>AssessmentType_PrimaryCoOccuring_11_to_13</t>
    </r>
    <r>
      <rPr>
        <sz val="10"/>
        <color theme="1"/>
        <rFont val="Calibri"/>
        <family val="2"/>
        <scheme val="minor"/>
      </rPr>
      <t xml:space="preserve">  must be </t>
    </r>
    <r>
      <rPr>
        <b/>
        <sz val="10"/>
        <color theme="1"/>
        <rFont val="Calibri"/>
        <family val="2"/>
        <scheme val="minor"/>
      </rPr>
      <t>equal</t>
    </r>
    <r>
      <rPr>
        <sz val="10"/>
        <color theme="1"/>
        <rFont val="Calibri"/>
        <family val="2"/>
        <scheme val="minor"/>
      </rPr>
      <t xml:space="preserve"> to the sum of:</t>
    </r>
    <r>
      <rPr>
        <b/>
        <sz val="10"/>
        <color theme="1"/>
        <rFont val="Calibri"/>
        <family val="2"/>
        <scheme val="minor"/>
      </rPr>
      <t>{</t>
    </r>
    <r>
      <rPr>
        <sz val="10"/>
        <color theme="1"/>
        <rFont val="Calibri"/>
        <family val="2"/>
        <scheme val="minor"/>
      </rPr>
      <t xml:space="preserve">
Assessed_White_11_to_13_Male,
Assessed_White_11_to_13_Female,
Assessed_White_11_to_13_Other_Gender,
Assessed_Black_11_to_13_Male,
Assessed_Black_11_to_13_Female,
Assessed_Black_11_to_13_Other_Gender,
Assessed_Hispanic_11_to_13_Male,
Assessed_Hispanic_11_to_13_Female,
Assessed_Hispanic_11_to_13_Other_Gender,
Assessed_Asian_11_to_13_Male,
Assessed_Asian_11_to_13_Female,
Assessed_Asian_11_to_13_Other_Gender,
Assessed_AmerIndAlaskNat_11_to_13_Male,
Assessed_AmerIndAlaskNat_11_to_13_Female,
Assessed_AmerIndAlaskNat_11_to_13_Other_Gender,
Assessed_Multi_11_to_13_Male,
Assessed_Multi_11_to_13_Female,
Assessed_Multi_11_to_13_Other_Gender,
Assessed_NatHawaiinOtherPacIslander_11_to_13_Male,
Assessed_NatHawaiinOtherPacIslander_11_to_13_Female,
Assessed_NatHawaiinOtherPacIslander_11_to_13_Other_Gender </t>
    </r>
    <r>
      <rPr>
        <b/>
        <sz val="10"/>
        <color theme="1"/>
        <rFont val="Calibri"/>
        <family val="2"/>
        <scheme val="minor"/>
      </rPr>
      <t>}</t>
    </r>
  </si>
  <si>
    <t xml:space="preserve">AssessmentType_PrimaryMentalHealth_11_to_13 </t>
  </si>
  <si>
    <t xml:space="preserve">AssessmentType_PrimaryCoOccuring_11_to_13 </t>
  </si>
  <si>
    <t xml:space="preserve">AssessmentType_PrimaryDrugandAlcohol_14_and_Older </t>
  </si>
  <si>
    <r>
      <rPr>
        <b/>
        <sz val="12"/>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
    </r>
    <r>
      <rPr>
        <b/>
        <sz val="10"/>
        <color theme="1"/>
        <rFont val="Calibri"/>
        <family val="2"/>
        <scheme val="minor"/>
      </rPr>
      <t>AssessmentType_PrimaryDrugandAlcohol_14_and_Older</t>
    </r>
    <r>
      <rPr>
        <sz val="10"/>
        <color theme="1"/>
        <rFont val="Calibri"/>
        <family val="2"/>
        <scheme val="minor"/>
      </rPr>
      <t xml:space="preserve">, </t>
    </r>
    <r>
      <rPr>
        <b/>
        <sz val="10"/>
        <color theme="1"/>
        <rFont val="Calibri"/>
        <family val="2"/>
        <scheme val="minor"/>
      </rPr>
      <t>AssessmentType_PrimaryMentalHealth_14_and_Older</t>
    </r>
    <r>
      <rPr>
        <sz val="10"/>
        <color theme="1"/>
        <rFont val="Calibri"/>
        <family val="2"/>
        <scheme val="minor"/>
      </rPr>
      <t xml:space="preserve">  and  </t>
    </r>
    <r>
      <rPr>
        <b/>
        <sz val="10"/>
        <color theme="1"/>
        <rFont val="Calibri"/>
        <family val="2"/>
        <scheme val="minor"/>
      </rPr>
      <t>AssessmentType_PrimaryCoOccuring_14_and_Older</t>
    </r>
    <r>
      <rPr>
        <sz val="10"/>
        <color theme="1"/>
        <rFont val="Calibri"/>
        <family val="2"/>
        <scheme val="minor"/>
      </rPr>
      <t xml:space="preserve">  must be equal to the sum of: {
Assessed_White_14_and_Older_Male,
Assessed_White_14_and_Older_Female,
Assessed_White_14_and_Older_Other_Gender,
Assessed_Black_14_and_Older_Male,
Assessed_Black_14_and_Older_Female,
Assessed_Black_14_and_Older_Other_Gender,
Assessed_Hispanic_14_and_Older_Male,
Assessed_Hispanic_14_and_Older_Female,
Assessed_Hispanic_14_and_Older_Other_Gender,
Assessed_Asian_14_and_Older_Male,
Assessed_Asian_14_and_Older_Female,
Assessed_Asian_14_and_Older_Other_Gender,
Assessed_AmerIndAlaskNat_14_and_Older_Male,
Assessed_AmerIndAlaskNat_14_and_Older_Female,
Assessed_AmerIndAlaskNat_14_and_Older_Other_Gender,
Assessed_Multi_14_and_Older_Male,
Assessed_Multi_14_and_Older_Female,
Assessed_Multi_14_and_Older_Other_Gender,
Assessed_NatHawaiinOtherPacIslander_14_and_Older_Male,
Assessed_NatHawaiinOtherPacIslander_14_and_Older_Female,
Assessed_NatHawaiinOtherPacIslander_14_and_Older_Other_Gender }</t>
    </r>
  </si>
  <si>
    <t xml:space="preserve">AssessmentType_PrimaryMentalHealth_14_and_Older </t>
  </si>
  <si>
    <t xml:space="preserve">AssessmentType_PrimaryCoOccuring_14_and_Older </t>
  </si>
  <si>
    <t>Of the students who have been assessed, indicate in the table below by age group the number who had no recommendation, the number who were recommended to continue with existing services, and the number who were recommended for one or more new services/supports.</t>
  </si>
  <si>
    <t>AssessmentResults_10_or_Younger_No_Recommendation</t>
  </si>
  <si>
    <r>
      <rPr>
        <b/>
        <sz val="12"/>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
    </r>
    <r>
      <rPr>
        <b/>
        <sz val="10"/>
        <color theme="1"/>
        <rFont val="Calibri"/>
        <family val="2"/>
        <scheme val="minor"/>
      </rPr>
      <t>AssessmentResults_10_or_Younger_No_Recommendation</t>
    </r>
    <r>
      <rPr>
        <sz val="10"/>
        <color theme="1"/>
        <rFont val="Calibri"/>
        <family val="2"/>
        <scheme val="minor"/>
      </rPr>
      <t xml:space="preserve">, </t>
    </r>
    <r>
      <rPr>
        <b/>
        <sz val="10"/>
        <color theme="1"/>
        <rFont val="Calibri"/>
        <family val="2"/>
        <scheme val="minor"/>
      </rPr>
      <t>AssessmentResults_10_or_Younger_Continue_Existing_Services</t>
    </r>
    <r>
      <rPr>
        <sz val="10"/>
        <color theme="1"/>
        <rFont val="Calibri"/>
        <family val="2"/>
        <scheme val="minor"/>
      </rPr>
      <t xml:space="preserve"> and </t>
    </r>
    <r>
      <rPr>
        <b/>
        <sz val="10"/>
        <color theme="1"/>
        <rFont val="Calibri"/>
        <family val="2"/>
        <scheme val="minor"/>
      </rPr>
      <t>AssessmentResults_10_or_Younger_New_Services_Recommended</t>
    </r>
    <r>
      <rPr>
        <sz val="10"/>
        <color theme="1"/>
        <rFont val="Calibri"/>
        <family val="2"/>
        <scheme val="minor"/>
      </rPr>
      <t xml:space="preserve"> must be equal or larger than the sum of </t>
    </r>
    <r>
      <rPr>
        <b/>
        <sz val="10"/>
        <color theme="1"/>
        <rFont val="Calibri"/>
        <family val="2"/>
        <scheme val="minor"/>
      </rPr>
      <t>AssessmentType_PrimaryDrugandAlcohol_10_or_Younger</t>
    </r>
    <r>
      <rPr>
        <sz val="10"/>
        <color theme="1"/>
        <rFont val="Calibri"/>
        <family val="2"/>
        <scheme val="minor"/>
      </rPr>
      <t xml:space="preserve">, </t>
    </r>
    <r>
      <rPr>
        <b/>
        <sz val="10"/>
        <color theme="1"/>
        <rFont val="Calibri"/>
        <family val="2"/>
        <scheme val="minor"/>
      </rPr>
      <t>AssessmentType_PrimaryMentalHealth_10_or_Younger</t>
    </r>
    <r>
      <rPr>
        <sz val="10"/>
        <color theme="1"/>
        <rFont val="Calibri"/>
        <family val="2"/>
        <scheme val="minor"/>
      </rPr>
      <t xml:space="preserve"> and </t>
    </r>
    <r>
      <rPr>
        <b/>
        <sz val="10"/>
        <color theme="1"/>
        <rFont val="Calibri"/>
        <family val="2"/>
        <scheme val="minor"/>
      </rPr>
      <t>AssessmentType_PrimaryCoOccuring_10_or_Younger</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
    </r>
    <r>
      <rPr>
        <b/>
        <sz val="10"/>
        <color theme="1"/>
        <rFont val="Calibri"/>
        <family val="2"/>
        <scheme val="minor"/>
      </rPr>
      <t>AssessmentResults_10_or_Younger_No_Recommendation</t>
    </r>
    <r>
      <rPr>
        <sz val="10"/>
        <color theme="1"/>
        <rFont val="Calibri"/>
        <family val="2"/>
        <scheme val="minor"/>
      </rPr>
      <t xml:space="preserve">, </t>
    </r>
    <r>
      <rPr>
        <b/>
        <sz val="10"/>
        <color theme="1"/>
        <rFont val="Calibri"/>
        <family val="2"/>
        <scheme val="minor"/>
      </rPr>
      <t>AssessmentResults_10_or_Younger_Continue_Existing_Services</t>
    </r>
    <r>
      <rPr>
        <sz val="10"/>
        <color theme="1"/>
        <rFont val="Calibri"/>
        <family val="2"/>
        <scheme val="minor"/>
      </rPr>
      <t xml:space="preserve"> and </t>
    </r>
    <r>
      <rPr>
        <b/>
        <sz val="10"/>
        <color theme="1"/>
        <rFont val="Calibri"/>
        <family val="2"/>
        <scheme val="minor"/>
      </rPr>
      <t>AssessmentResults_10_or_Younger_New_Services_Recommended</t>
    </r>
    <r>
      <rPr>
        <sz val="10"/>
        <color theme="1"/>
        <rFont val="Calibri"/>
        <family val="2"/>
        <scheme val="minor"/>
      </rPr>
      <t xml:space="preserve"> must </t>
    </r>
    <r>
      <rPr>
        <b/>
        <sz val="10"/>
        <color theme="1"/>
        <rFont val="Calibri"/>
        <family val="2"/>
        <scheme val="minor"/>
      </rPr>
      <t>0</t>
    </r>
    <r>
      <rPr>
        <sz val="10"/>
        <color theme="1"/>
        <rFont val="Calibri"/>
        <family val="2"/>
        <scheme val="minor"/>
      </rPr>
      <t xml:space="preserve"> or if the sum of </t>
    </r>
    <r>
      <rPr>
        <b/>
        <sz val="10"/>
        <color theme="1"/>
        <rFont val="Calibri"/>
        <family val="2"/>
        <scheme val="minor"/>
      </rPr>
      <t>AssessmentType_PrimaryDrugandAlcohol_10_or_Younger</t>
    </r>
    <r>
      <rPr>
        <sz val="10"/>
        <color theme="1"/>
        <rFont val="Calibri"/>
        <family val="2"/>
        <scheme val="minor"/>
      </rPr>
      <t xml:space="preserve">, </t>
    </r>
    <r>
      <rPr>
        <b/>
        <sz val="10"/>
        <color theme="1"/>
        <rFont val="Calibri"/>
        <family val="2"/>
        <scheme val="minor"/>
      </rPr>
      <t>AssessmentType_PrimaryMentalHealth_10_or_Younger</t>
    </r>
    <r>
      <rPr>
        <sz val="10"/>
        <color theme="1"/>
        <rFont val="Calibri"/>
        <family val="2"/>
        <scheme val="minor"/>
      </rPr>
      <t xml:space="preserve"> and </t>
    </r>
    <r>
      <rPr>
        <b/>
        <sz val="10"/>
        <color theme="1"/>
        <rFont val="Calibri"/>
        <family val="2"/>
        <scheme val="minor"/>
      </rPr>
      <t>AssessmentType_PrimaryCoOccuring_10_or_Younger</t>
    </r>
    <r>
      <rPr>
        <sz val="10"/>
        <color theme="1"/>
        <rFont val="Calibri"/>
        <family val="2"/>
        <scheme val="minor"/>
      </rPr>
      <t xml:space="preserve"> is </t>
    </r>
    <r>
      <rPr>
        <b/>
        <sz val="10"/>
        <color theme="1"/>
        <rFont val="Calibri"/>
        <family val="2"/>
        <scheme val="minor"/>
      </rPr>
      <t>0</t>
    </r>
  </si>
  <si>
    <t>AssessmentResults_10_or_Younger_Continue_Existing_Services</t>
  </si>
  <si>
    <t>AssessmentResults_10_or_Younger_New_Services_Recommended</t>
  </si>
  <si>
    <t>AssessmentResults_11_to_13_No_Recommendation</t>
  </si>
  <si>
    <r>
      <rPr>
        <b/>
        <sz val="12"/>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
    </r>
    <r>
      <rPr>
        <b/>
        <sz val="10"/>
        <color theme="1"/>
        <rFont val="Calibri"/>
        <family val="2"/>
        <scheme val="minor"/>
      </rPr>
      <t>AssessmentResults_11_to_13_No_Recommendation</t>
    </r>
    <r>
      <rPr>
        <sz val="10"/>
        <color theme="1"/>
        <rFont val="Calibri"/>
        <family val="2"/>
        <scheme val="minor"/>
      </rPr>
      <t xml:space="preserve">, </t>
    </r>
    <r>
      <rPr>
        <b/>
        <sz val="10"/>
        <color theme="1"/>
        <rFont val="Calibri"/>
        <family val="2"/>
        <scheme val="minor"/>
      </rPr>
      <t>AssessmentResults_11_to_13_Continue_Existing_Services</t>
    </r>
    <r>
      <rPr>
        <sz val="10"/>
        <color theme="1"/>
        <rFont val="Calibri"/>
        <family val="2"/>
        <scheme val="minor"/>
      </rPr>
      <t xml:space="preserve"> and </t>
    </r>
    <r>
      <rPr>
        <b/>
        <sz val="10"/>
        <color theme="1"/>
        <rFont val="Calibri"/>
        <family val="2"/>
        <scheme val="minor"/>
      </rPr>
      <t>AssessmentResults_11_to_13_New_Services_Recommended</t>
    </r>
    <r>
      <rPr>
        <sz val="10"/>
        <color theme="1"/>
        <rFont val="Calibri"/>
        <family val="2"/>
        <scheme val="minor"/>
      </rPr>
      <t xml:space="preserve"> must be equal or larger than the sum of </t>
    </r>
    <r>
      <rPr>
        <b/>
        <sz val="10"/>
        <color theme="1"/>
        <rFont val="Calibri"/>
        <family val="2"/>
        <scheme val="minor"/>
      </rPr>
      <t>AssessmentType_PrimaryDrugandAlcohol_11_to_13</t>
    </r>
    <r>
      <rPr>
        <sz val="10"/>
        <color theme="1"/>
        <rFont val="Calibri"/>
        <family val="2"/>
        <scheme val="minor"/>
      </rPr>
      <t xml:space="preserve">, </t>
    </r>
    <r>
      <rPr>
        <b/>
        <sz val="10"/>
        <color theme="1"/>
        <rFont val="Calibri"/>
        <family val="2"/>
        <scheme val="minor"/>
      </rPr>
      <t>AssessmentType_PrimaryMentalHealth_11_to_13</t>
    </r>
    <r>
      <rPr>
        <sz val="10"/>
        <color theme="1"/>
        <rFont val="Calibri"/>
        <family val="2"/>
        <scheme val="minor"/>
      </rPr>
      <t xml:space="preserve"> and </t>
    </r>
    <r>
      <rPr>
        <b/>
        <sz val="10"/>
        <color theme="1"/>
        <rFont val="Calibri"/>
        <family val="2"/>
        <scheme val="minor"/>
      </rPr>
      <t>AssessmentType_PrimaryCoOccuring_11_to_13</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
    </r>
    <r>
      <rPr>
        <b/>
        <sz val="10"/>
        <color theme="1"/>
        <rFont val="Calibri"/>
        <family val="2"/>
        <scheme val="minor"/>
      </rPr>
      <t>AssessmentResults_11_to_13_No_Recommendation</t>
    </r>
    <r>
      <rPr>
        <sz val="10"/>
        <color theme="1"/>
        <rFont val="Calibri"/>
        <family val="2"/>
        <scheme val="minor"/>
      </rPr>
      <t xml:space="preserve">, </t>
    </r>
    <r>
      <rPr>
        <b/>
        <sz val="10"/>
        <color theme="1"/>
        <rFont val="Calibri"/>
        <family val="2"/>
        <scheme val="minor"/>
      </rPr>
      <t>AssessmentResults_11_to_13_Continue_Existing_Services</t>
    </r>
    <r>
      <rPr>
        <sz val="10"/>
        <color theme="1"/>
        <rFont val="Calibri"/>
        <family val="2"/>
        <scheme val="minor"/>
      </rPr>
      <t xml:space="preserve"> and </t>
    </r>
    <r>
      <rPr>
        <b/>
        <sz val="10"/>
        <color theme="1"/>
        <rFont val="Calibri"/>
        <family val="2"/>
        <scheme val="minor"/>
      </rPr>
      <t>AssessmentResults_11_to_13_New_Services_Recommended</t>
    </r>
    <r>
      <rPr>
        <sz val="10"/>
        <color theme="1"/>
        <rFont val="Calibri"/>
        <family val="2"/>
        <scheme val="minor"/>
      </rPr>
      <t xml:space="preserve"> must </t>
    </r>
    <r>
      <rPr>
        <b/>
        <sz val="10"/>
        <color theme="1"/>
        <rFont val="Calibri"/>
        <family val="2"/>
        <scheme val="minor"/>
      </rPr>
      <t>0</t>
    </r>
    <r>
      <rPr>
        <sz val="10"/>
        <color theme="1"/>
        <rFont val="Calibri"/>
        <family val="2"/>
        <scheme val="minor"/>
      </rPr>
      <t xml:space="preserve"> or if the sum of </t>
    </r>
    <r>
      <rPr>
        <b/>
        <sz val="10"/>
        <color theme="1"/>
        <rFont val="Calibri"/>
        <family val="2"/>
        <scheme val="minor"/>
      </rPr>
      <t>AssessmentType_PrimaryDrugandAlcohol_11_to_13</t>
    </r>
    <r>
      <rPr>
        <sz val="10"/>
        <color theme="1"/>
        <rFont val="Calibri"/>
        <family val="2"/>
        <scheme val="minor"/>
      </rPr>
      <t xml:space="preserve">, </t>
    </r>
    <r>
      <rPr>
        <b/>
        <sz val="10"/>
        <color theme="1"/>
        <rFont val="Calibri"/>
        <family val="2"/>
        <scheme val="minor"/>
      </rPr>
      <t>AssessmentType_PrimaryMentalHealth_11_to_13</t>
    </r>
    <r>
      <rPr>
        <sz val="10"/>
        <color theme="1"/>
        <rFont val="Calibri"/>
        <family val="2"/>
        <scheme val="minor"/>
      </rPr>
      <t xml:space="preserve"> and </t>
    </r>
    <r>
      <rPr>
        <b/>
        <sz val="10"/>
        <color theme="1"/>
        <rFont val="Calibri"/>
        <family val="2"/>
        <scheme val="minor"/>
      </rPr>
      <t>AssessmentType_PrimaryCoOccuring_11_to_13</t>
    </r>
  </si>
  <si>
    <t>AssessmentResults_11_to_13_Continue_Existing_Services</t>
  </si>
  <si>
    <t>AssessmentResults_11_to_13_New_Services_Recommended</t>
  </si>
  <si>
    <t>AssessmentResults_14_and_Older_No_Recommendation</t>
  </si>
  <si>
    <r>
      <rPr>
        <b/>
        <sz val="12"/>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
    </r>
    <r>
      <rPr>
        <b/>
        <sz val="10"/>
        <color theme="1"/>
        <rFont val="Calibri"/>
        <family val="2"/>
        <scheme val="minor"/>
      </rPr>
      <t>AssessmentResults_14_and_Older_No_Recommendation, AssessmentResults_14_and_Older_Continue_Existing_Services</t>
    </r>
    <r>
      <rPr>
        <sz val="10"/>
        <color theme="1"/>
        <rFont val="Calibri"/>
        <family val="2"/>
        <scheme val="minor"/>
      </rPr>
      <t xml:space="preserve"> and </t>
    </r>
    <r>
      <rPr>
        <b/>
        <sz val="10"/>
        <color theme="1"/>
        <rFont val="Calibri"/>
        <family val="2"/>
        <scheme val="minor"/>
      </rPr>
      <t>AssessmentResults_14_and_Older_New_Services_Recommended</t>
    </r>
    <r>
      <rPr>
        <sz val="10"/>
        <color theme="1"/>
        <rFont val="Calibri"/>
        <family val="2"/>
        <scheme val="minor"/>
      </rPr>
      <t xml:space="preserve"> must be equal or larger than the sum of </t>
    </r>
    <r>
      <rPr>
        <b/>
        <sz val="10"/>
        <color theme="1"/>
        <rFont val="Calibri"/>
        <family val="2"/>
        <scheme val="minor"/>
      </rPr>
      <t>AssessmentType_PrimaryDrugandAlcohol_14_and_Older, AssessmentType_PrimaryMentalHealth_14_and_Older</t>
    </r>
    <r>
      <rPr>
        <sz val="10"/>
        <color theme="1"/>
        <rFont val="Calibri"/>
        <family val="2"/>
        <scheme val="minor"/>
      </rPr>
      <t xml:space="preserve"> and </t>
    </r>
    <r>
      <rPr>
        <b/>
        <sz val="10"/>
        <color theme="1"/>
        <rFont val="Calibri"/>
        <family val="2"/>
        <scheme val="minor"/>
      </rPr>
      <t>AssessmentType_PrimaryCoOccuring_14_and_Older</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
    </r>
    <r>
      <rPr>
        <b/>
        <sz val="10"/>
        <color theme="1"/>
        <rFont val="Calibri"/>
        <family val="2"/>
        <scheme val="minor"/>
      </rPr>
      <t>AssessmentResults_14_and_Older_No_Recommendation, AssessmentResults_14_and_Older_Continue_Existing_Services</t>
    </r>
    <r>
      <rPr>
        <sz val="10"/>
        <color theme="1"/>
        <rFont val="Calibri"/>
        <family val="2"/>
        <scheme val="minor"/>
      </rPr>
      <t xml:space="preserve"> and </t>
    </r>
    <r>
      <rPr>
        <b/>
        <sz val="10"/>
        <color theme="1"/>
        <rFont val="Calibri"/>
        <family val="2"/>
        <scheme val="minor"/>
      </rPr>
      <t>AssessmentResults_14_and_Older_New_Services_Recommended</t>
    </r>
    <r>
      <rPr>
        <sz val="10"/>
        <color theme="1"/>
        <rFont val="Calibri"/>
        <family val="2"/>
        <scheme val="minor"/>
      </rPr>
      <t xml:space="preserve"> must </t>
    </r>
    <r>
      <rPr>
        <b/>
        <sz val="10"/>
        <color theme="1"/>
        <rFont val="Calibri"/>
        <family val="2"/>
        <scheme val="minor"/>
      </rPr>
      <t>0</t>
    </r>
    <r>
      <rPr>
        <sz val="10"/>
        <color theme="1"/>
        <rFont val="Calibri"/>
        <family val="2"/>
        <scheme val="minor"/>
      </rPr>
      <t xml:space="preserve"> or if the sum of </t>
    </r>
    <r>
      <rPr>
        <b/>
        <sz val="10"/>
        <color theme="1"/>
        <rFont val="Calibri"/>
        <family val="2"/>
        <scheme val="minor"/>
      </rPr>
      <t>AssessmentType_PrimaryDrugandAlcohol_14_and_Older, AssessmentType_PrimaryMentalHealth_14_and_Older</t>
    </r>
    <r>
      <rPr>
        <sz val="10"/>
        <color theme="1"/>
        <rFont val="Calibri"/>
        <family val="2"/>
        <scheme val="minor"/>
      </rPr>
      <t xml:space="preserve"> and </t>
    </r>
    <r>
      <rPr>
        <b/>
        <sz val="10"/>
        <color theme="1"/>
        <rFont val="Calibri"/>
        <family val="2"/>
        <scheme val="minor"/>
      </rPr>
      <t>AssessmentType_PrimaryCoOccuring_14_and_Older</t>
    </r>
  </si>
  <si>
    <t>AssessmentResults_14_and_Older_Continue_Existing_Services</t>
  </si>
  <si>
    <t>AssessmentResults_14_and_Older_New_Services_Recommended</t>
  </si>
  <si>
    <t>New Recommended Services From Assessment</t>
  </si>
  <si>
    <t>Of the students recommended for a new service, indicate in the tables below by age group the number who were recommended for each service category. If student is referred to multiple services, include them in the count for each service. Where indicated in the table, break out the number of students referred for a service into the following categories: accessed the service, didn’t access the service, or you do not know if the student did/didn’t access the service.</t>
  </si>
  <si>
    <t>AssessmentNewServicesRecommended_NonTreatmentSuports_10_or_Younger_SchoolSupports_Accessed_Yes</t>
  </si>
  <si>
    <r>
      <rPr>
        <b/>
        <sz val="12"/>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Sum of fields must be equal or larger than the value of </t>
    </r>
    <r>
      <rPr>
        <b/>
        <sz val="10"/>
        <color theme="1"/>
        <rFont val="Calibri"/>
        <family val="2"/>
        <scheme val="minor"/>
      </rPr>
      <t xml:space="preserve">AssessmentResults_10_or_Younger_New_Services_Recommended
</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If the value of </t>
    </r>
    <r>
      <rPr>
        <b/>
        <sz val="10"/>
        <color theme="1"/>
        <rFont val="Calibri"/>
        <family val="2"/>
        <scheme val="minor"/>
      </rPr>
      <t>AssessmentResults_10_or_Younger_New_Services_Recommended</t>
    </r>
    <r>
      <rPr>
        <sz val="10"/>
        <color theme="1"/>
        <rFont val="Calibri"/>
        <family val="2"/>
        <scheme val="minor"/>
      </rPr>
      <t xml:space="preserve"> is </t>
    </r>
    <r>
      <rPr>
        <b/>
        <sz val="10"/>
        <color theme="1"/>
        <rFont val="Calibri"/>
        <family val="2"/>
        <scheme val="minor"/>
      </rPr>
      <t>0</t>
    </r>
    <r>
      <rPr>
        <sz val="10"/>
        <color theme="1"/>
        <rFont val="Calibri"/>
        <family val="2"/>
        <scheme val="minor"/>
      </rPr>
      <t xml:space="preserve">, then all fields must be </t>
    </r>
    <r>
      <rPr>
        <b/>
        <sz val="10"/>
        <color theme="1"/>
        <rFont val="Calibri"/>
        <family val="2"/>
        <scheme val="minor"/>
      </rPr>
      <t>0</t>
    </r>
    <r>
      <rPr>
        <sz val="10"/>
        <color theme="1"/>
        <rFont val="Calibri"/>
        <family val="2"/>
        <scheme val="minor"/>
      </rPr>
      <t xml:space="preserve">
</t>
    </r>
  </si>
  <si>
    <t>AssessmentNewServicesRecommended_NonTreatmentSuports_10_or_Younger_SchoolSupports_Accessed_No</t>
  </si>
  <si>
    <t>AssessmentNewServicesRecommended_NonTreatmentSuports_10_or_Younger_SchoolSupports_Accessed_Dont_Know</t>
  </si>
  <si>
    <t>AssessmentNewServicesRecommended_NonTreatmentSuports_10_or_Younger_LiaisonSupportServices_Accessed_Yes</t>
  </si>
  <si>
    <t>AssessmentNewServicesRecommended_NonTreatmentSuports_10_or_Younger_LiaisonSupportServices_Accessed_No</t>
  </si>
  <si>
    <t>AssessmentNewServicesRecommended_NonTreatmentSuports_10_or_Younger_LiaisonSupportServices_Accessed_Dont_Know</t>
  </si>
  <si>
    <t>AssessmentNewServicesRecommended_NonTreatmentSuports_10_or_Younger_CommunityBasedSupportServices_Accessed_Yes</t>
  </si>
  <si>
    <t>AssessmentNewServicesRecommended_NonTreatmentSuports_10_or_Younger_CommunityBasedSupportServices_Accessed_No</t>
  </si>
  <si>
    <t>AssessmentNewServicesRecommended_NonTreatmentSuports_10_or_Younger_CommunityBasedSupportServices_Accessed_Dont_Know</t>
  </si>
  <si>
    <t>AssessmentNewServicesRecommended_NonTreatmentSuports_10_or_Younger_ReferraltoCrisisInterventionServices_Accessed_Yes</t>
  </si>
  <si>
    <t>AssessmentNewServicesRecommended_NonTreatmentSuports_10_or_Younger_ReferraltoCrisisInterventionServices_Accessed_No</t>
  </si>
  <si>
    <t>AssessmentNewServicesRecommended_NonTreatmentSuports_10_or_Younger_ReferraltoCrisisInterventionServices_Accessed_Dont_Know</t>
  </si>
  <si>
    <t>AssessmentNewServicesRecommended_NonTreatmentSuports_10_or_Younger_OtherAssessment_Accessed_Yes</t>
  </si>
  <si>
    <t>AssessmentNewServicesRecommended_NonTreatmentSuports_10_or_Younger_OtherAssessment_Accessed_No</t>
  </si>
  <si>
    <t>AssessmentNewServicesRecommended_NonTreatmentSuports_10_or_Younger_OtherAssessment_Accessed_Dont_Know</t>
  </si>
  <si>
    <t>AssessmentNewServicesRecommended_DrugandAlcoholTreatment_10_or_Younger_DAEarlyIntervention_Accessed_Yes</t>
  </si>
  <si>
    <t>AssessmentNewServicesRecommended_DrugandAlcoholTreatment_10_or_Younger_DAEarlyIntervention_Accessed_No</t>
  </si>
  <si>
    <t>AssessmentNewServicesRecommended_DrugandAlcoholTreatment_10_or_Younger_DAEarlyIntervention_Accessed_Dont_Know</t>
  </si>
  <si>
    <t>AssessmentNewServicesRecommended_DrugandAlcoholTreatment_10_or_Younger_DAOutpatient_Accessed_Yes</t>
  </si>
  <si>
    <t>AssessmentNewServicesRecommended_DrugandAlcoholTreatment_10_or_Younger_DAOutpatient_Accessed_No</t>
  </si>
  <si>
    <t>AssessmentNewServicesRecommended_DrugandAlcoholTreatment_10_or_Younger_DAOutpatient_Accessed_Dont_Know</t>
  </si>
  <si>
    <t>AssessmentNewServicesRecommended_DrugandAlcoholTreatment_10_or_Younger_DAIntensiveOutpatient_Accessed_Yes</t>
  </si>
  <si>
    <t>AssessmentNewServicesRecommended_DrugandAlcoholTreatment_10_or_Younger_DAIntensiveOutpatient_Accessed_No</t>
  </si>
  <si>
    <t>AssessmentNewServicesRecommended_DrugandAlcoholTreatment_10_or_Younger_DAIntensiveOutpatient_Accessed_Dont_Know</t>
  </si>
  <si>
    <t>AssessmentNewServicesRecommended_DrugandAlcoholTreatment_10_or_Younger_DAPartialHospitalization_Accessed_Yes</t>
  </si>
  <si>
    <t>AssessmentNewServicesRecommended_DrugandAlcoholTreatment_10_or_Younger_DAPartialHospitalization_Accessed_No</t>
  </si>
  <si>
    <t>AssessmentNewServicesRecommended_DrugandAlcoholTreatment_10_or_Younger_DAPartialHospitalization_Accessed_Dont_Know</t>
  </si>
  <si>
    <t>AssessmentNewServicesRecommended_DrugandAlcoholTreatment_10_or_Younger_DAResidentialInpatient_Accessed_Yes</t>
  </si>
  <si>
    <t>AssessmentNewServicesRecommended_DrugandAlcoholTreatment_10_or_Younger_DAResidentialInpatient_Accessed_No</t>
  </si>
  <si>
    <t>AssessmentNewServicesRecommended_DrugandAlcoholTreatment_10_or_Younger_DAResidentialInpatient_Accessed_Dont_Know</t>
  </si>
  <si>
    <t>AssessmentNewServicesRecommended_DrugandAlcoholTreatment_10_or_Younger_DAIntensiveInpatient_Accessed_Yes</t>
  </si>
  <si>
    <t>AssessmentNewServicesRecommended_DrugandAlcoholTreatment_10_or_Younger_DAIntensiveInpatient_Accessed_No</t>
  </si>
  <si>
    <t>AssessmentNewServicesRecommended_DrugandAlcoholTreatment_10_or_Younger_DAIntensiveInpatient_Accessed_Dont_Know</t>
  </si>
  <si>
    <t>AssessmentNewServicesRecommended_MentalHealthTreatment_10_or_Younger_PsychiatricOutpatientSchoolBased_Accessed_Yes</t>
  </si>
  <si>
    <t>AssessmentNewServicesRecommended_MentalHealthTreatment_10_or_Younger_PsychiatricOutpatientSchoolBased_Accessed_No</t>
  </si>
  <si>
    <t>AssessmentNewServicesRecommended_MentalHealthTreatment_10_or_Younger_PsychiatricOutpatientSchoolBased_Accessed_Dont_Know</t>
  </si>
  <si>
    <t>AssessmentNewServicesRecommended_MentalHealthTreatment_10_or_Younger_PsychiatricOutpatientCommunityBased_Accessed_Yes</t>
  </si>
  <si>
    <t>AssessmentNewServicesRecommended_MentalHealthTreatment_10_or_Younger_PsychiatricOutpatientCommunityBased_Accessed_No</t>
  </si>
  <si>
    <t>AssessmentNewServicesRecommended_MentalHealthTreatment_10_or_Younger_PsychiatricOutpatientCommunityBased_Accessed_Dont_Know</t>
  </si>
  <si>
    <t>AssessmentNewServicesRecommended_MentalHealthTreatment_10_or_Younger_PsychiatricPartialHospitalization_Accessed_Yes</t>
  </si>
  <si>
    <t>AssessmentNewServicesRecommended_MentalHealthTreatment_10_or_Younger_PsychiatricPartialHospitalization_Accessed_No</t>
  </si>
  <si>
    <t>AssessmentNewServicesRecommended_MentalHealthTreatment_10_or_Younger_PsychiatricPartialHospitalization_Accessed_Dont_Know</t>
  </si>
  <si>
    <t>AssessmentNewServicesRecommended_MentalHealthTreatment_10_or_Younger_FamilybasedMentalHealthServices_Accessed_Yes</t>
  </si>
  <si>
    <t>AssessmentNewServicesRecommended_MentalHealthTreatment_10_or_Younger_FamilybasedMentalHealthServices_Accessed_No</t>
  </si>
  <si>
    <t>AssessmentNewServicesRecommended_MentalHealthTreatment_10_or_Younger_FamilybasedMentalHealthServices_Accessed_Dont_Know</t>
  </si>
  <si>
    <t>AssessmentNewServicesRecommended_MentalHealthTreatment_10_or_Younger_IntensiveBehavioralHealthServices_Accessed_Yes</t>
  </si>
  <si>
    <t>AssessmentNewServicesRecommended_MentalHealthTreatment_10_or_Younger_IntensiveBehavioralHealthServices_Accessed_No</t>
  </si>
  <si>
    <t>AssessmentNewServicesRecommended_MentalHealthTreatment_10_or_Younger_IntensiveBehavioralHealthServices_Accessed_Dont_Know</t>
  </si>
  <si>
    <t>AssessmentNewServicesRecommended_MentalHealthTreatment_10_or_Younger_PsychiatricResidentialTreatmentFacility_Accessed_Yes</t>
  </si>
  <si>
    <t>AssessmentNewServicesRecommended_MentalHealthTreatment_10_or_Younger_PsychiatricResidentialTreatmentFacility_Accessed_No</t>
  </si>
  <si>
    <t>AssessmentNewServicesRecommended_MentalHealthTreatment_10_or_Younger_PsychiatricResidentialTreatmentFacility_Accessed_Dont_Know</t>
  </si>
  <si>
    <t>AssessmentNewServicesRecommended_MentalHealthTreatment_10_or_Younger_PsychiatricInpatientHospitalization_Accessed_Yes</t>
  </si>
  <si>
    <t>AssessmentNewServicesRecommended_MentalHealthTreatment_10_or_Younger_PsychiatricInpatientHospitalization_Accessed_No</t>
  </si>
  <si>
    <t>AssessmentNewServicesRecommended_MentalHealthTreatment_10_or_Younger_PsychiatricInpatientHospitalization_Accessed_Dont_Know</t>
  </si>
  <si>
    <t>AssessmentNewServicesRecommended_NonTreatmentSuports_11_to_13_SchoolSupports_Accessed_Yes</t>
  </si>
  <si>
    <r>
      <rPr>
        <b/>
        <sz val="12"/>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Sum of fields must be equal or larger than the value of </t>
    </r>
    <r>
      <rPr>
        <b/>
        <sz val="10"/>
        <color theme="1"/>
        <rFont val="Calibri"/>
        <family val="2"/>
        <scheme val="minor"/>
      </rPr>
      <t xml:space="preserve">AssessmentResults_11_to_13_New_Services_Recommended
</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If the value of </t>
    </r>
    <r>
      <rPr>
        <b/>
        <sz val="10"/>
        <color theme="1"/>
        <rFont val="Calibri"/>
        <family val="2"/>
        <scheme val="minor"/>
      </rPr>
      <t>AssessmentResults_11_to_13_New_Services_Recommended</t>
    </r>
    <r>
      <rPr>
        <sz val="10"/>
        <color theme="1"/>
        <rFont val="Calibri"/>
        <family val="2"/>
        <scheme val="minor"/>
      </rPr>
      <t xml:space="preserve"> is </t>
    </r>
    <r>
      <rPr>
        <b/>
        <sz val="10"/>
        <color theme="1"/>
        <rFont val="Calibri"/>
        <family val="2"/>
        <scheme val="minor"/>
      </rPr>
      <t>0</t>
    </r>
    <r>
      <rPr>
        <sz val="10"/>
        <color theme="1"/>
        <rFont val="Calibri"/>
        <family val="2"/>
        <scheme val="minor"/>
      </rPr>
      <t xml:space="preserve">, then all fields must be </t>
    </r>
    <r>
      <rPr>
        <b/>
        <sz val="10"/>
        <color theme="1"/>
        <rFont val="Calibri"/>
        <family val="2"/>
        <scheme val="minor"/>
      </rPr>
      <t>0</t>
    </r>
    <r>
      <rPr>
        <sz val="10"/>
        <color theme="1"/>
        <rFont val="Calibri"/>
        <family val="2"/>
        <scheme val="minor"/>
      </rPr>
      <t xml:space="preserve">
</t>
    </r>
  </si>
  <si>
    <t>AssessmentNewServicesRecommended_NonTreatmentSuports_11_to_13_SchoolSupports_Accessed_No</t>
  </si>
  <si>
    <t>AssessmentNewServicesRecommended_NonTreatmentSuports_11_to_13_SchoolSupports_Accessed_Dont_Know</t>
  </si>
  <si>
    <t>AssessmentNewServicesRecommended_NonTreatmentSuports_11_to_13_LiaisonSupportServices_Accessed_Yes</t>
  </si>
  <si>
    <t>AssessmentNewServicesRecommended_NonTreatmentSuports_11_to_13_LiaisonSupportServices_Accessed_No</t>
  </si>
  <si>
    <t>AssessmentNewServicesRecommended_NonTreatmentSuports_11_to_13_LiaisonSupportServices_Accessed_Dont_Know</t>
  </si>
  <si>
    <t>AssessmentNewServicesRecommended_NonTreatmentSuports_11_to_13_CommunityBasedSupportServices_Accessed_Yes</t>
  </si>
  <si>
    <t>AssessmentNewServicesRecommended_NonTreatmentSuports_11_to_13_CommunityBasedSupportServices_Accessed_No</t>
  </si>
  <si>
    <t>AssessmentNewServicesRecommended_NonTreatmentSuports_11_to_13_CommunityBasedSupportServices_Accessed_Dont_Know</t>
  </si>
  <si>
    <t>AssessmentNewServicesRecommended_NonTreatmentSuports_11_to_13_ReferraltoCrisisInterventionServices_Accessed_Yes</t>
  </si>
  <si>
    <t>AssessmentNewServicesRecommended_NonTreatmentSuports_11_to_13_ReferraltoCrisisInterventionServices_Accessed_No</t>
  </si>
  <si>
    <t>AssessmentNewServicesRecommended_NonTreatmentSuports_11_to_13_ReferraltoCrisisInterventionServices_Accessed_Dont_Know</t>
  </si>
  <si>
    <t>AssessmentNewServicesRecommended_NonTreatmentSuports_11_to_13_OtherAssessment_Accessed_Yes</t>
  </si>
  <si>
    <t>AssessmentNewServicesRecommended_NonTreatmentSuports_11_to_13_OtherAssessment_Accessed_No</t>
  </si>
  <si>
    <t>AssessmentNewServicesRecommended_NonTreatmentSuports_11_to_13_OtherAssessment_Accessed_Dont_Know</t>
  </si>
  <si>
    <t>AssessmentNewServicesRecommended_DrugandAlcoholTreatment_11_to_13_DAEarlyIntervention_Accessed_Yes</t>
  </si>
  <si>
    <t>AssessmentNewServicesRecommended_DrugandAlcoholTreatment_11_to_13_DAEarlyIntervention_Accessed_No</t>
  </si>
  <si>
    <t>AssessmentNewServicesRecommended_DrugandAlcoholTreatment_11_to_13_DAEarlyIntervention_Accessed_Dont_Know</t>
  </si>
  <si>
    <t>AssessmentNewServicesRecommended_DrugandAlcoholTreatment_11_to_13_DAOutpatient_Accessed_Yes</t>
  </si>
  <si>
    <t>AssessmentNewServicesRecommended_DrugandAlcoholTreatment_11_to_13_DAOutpatient_Accessed_No</t>
  </si>
  <si>
    <t>AssessmentNewServicesRecommended_DrugandAlcoholTreatment_11_to_13_DAOutpatient_Accessed_Dont_Know</t>
  </si>
  <si>
    <t>AssessmentNewServicesRecommended_DrugandAlcoholTreatment_11_to_13_DAIntensiveOutpatient_Accessed_Yes</t>
  </si>
  <si>
    <t>AssessmentNewServicesRecommended_DrugandAlcoholTreatment_11_to_13_DAIntensiveOutpatient_Accessed_No</t>
  </si>
  <si>
    <t>AssessmentNewServicesRecommended_DrugandAlcoholTreatment_11_to_13_DAIntensiveOutpatient_Accessed_Dont_Know</t>
  </si>
  <si>
    <t>AssessmentNewServicesRecommended_DrugandAlcoholTreatment_11_to_13_DAPartialHospitalization_Accessed_Yes</t>
  </si>
  <si>
    <t>AssessmentNewServicesRecommended_DrugandAlcoholTreatment_11_to_13_DAPartialHospitalization_Accessed_No</t>
  </si>
  <si>
    <t>AssessmentNewServicesRecommended_DrugandAlcoholTreatment_11_to_13_DAPartialHospitalization_Accessed_Dont_Know</t>
  </si>
  <si>
    <t>AssessmentNewServicesRecommended_DrugandAlcoholTreatment_11_to_13_DAResidentialInpatient_Accessed_Yes</t>
  </si>
  <si>
    <t>AssessmentNewServicesRecommended_DrugandAlcoholTreatment_11_to_13_DAResidentialInpatient_Accessed_No</t>
  </si>
  <si>
    <t>AssessmentNewServicesRecommended_DrugandAlcoholTreatment_11_to_13_DAResidentialInpatient_Accessed_Dont_Know</t>
  </si>
  <si>
    <t>AssessmentNewServicesRecommended_DrugandAlcoholTreatment_11_to_13_DAIntensiveInpatient_Accessed_Yes</t>
  </si>
  <si>
    <t>AssessmentNewServicesRecommended_DrugandAlcoholTreatment_11_to_13_DAIntensiveInpatient_Accessed_No</t>
  </si>
  <si>
    <t>AssessmentNewServicesRecommended_DrugandAlcoholTreatment_11_to_13_DAIntensiveInpatient_Accessed_Dont_Know</t>
  </si>
  <si>
    <t>AssessmentNewServicesRecommended_MentalHealthTreatment_11_to_13_PsychiatricOutpatientSchoolBased_Accessed_Yes</t>
  </si>
  <si>
    <t>AssessmentNewServicesRecommended_MentalHealthTreatment_11_to_13_PsychiatricOutpatientSchoolBased_Accessed_No</t>
  </si>
  <si>
    <t>AssessmentNewServicesRecommended_MentalHealthTreatment_11_to_13_PsychiatricOutpatientSchoolBased_Accessed_Dont_Know</t>
  </si>
  <si>
    <t>AssessmentNewServicesRecommended_MentalHealthTreatment_11_to_13_PsychiatricOutpatientCommunityBased_Accessed_Yes</t>
  </si>
  <si>
    <t>AssessmentNewServicesRecommended_MentalHealthTreatment_11_to_13_PsychiatricOutpatientCommunityBased_Accessed_No</t>
  </si>
  <si>
    <t>AssessmentNewServicesRecommended_MentalHealthTreatment_11_to_13_PsychiatricOutpatientCommunityBased_Accessed_Dont_Know</t>
  </si>
  <si>
    <t>AssessmentNewServicesRecommended_MentalHealthTreatment_11_to_13_PsychiatricPartialHospitalization_Accessed_Yes</t>
  </si>
  <si>
    <t>AssessmentNewServicesRecommended_MentalHealthTreatment_11_to_13_PsychiatricPartialHospitalization_Accessed_No</t>
  </si>
  <si>
    <t>AssessmentNewServicesRecommended_MentalHealthTreatment_11_to_13_PsychiatricPartialHospitalization_Accessed_Dont_Know</t>
  </si>
  <si>
    <t>AssessmentNewServicesRecommended_MentalHealthTreatment_11_to_13_FamilybasedMentalHealthServices_Accessed_Yes</t>
  </si>
  <si>
    <t>AssessmentNewServicesRecommended_MentalHealthTreatment_11_to_13_FamilybasedMentalHealthServices_Accessed_No</t>
  </si>
  <si>
    <t>AssessmentNewServicesRecommended_MentalHealthTreatment_11_to_13_FamilybasedMentalHealthServices_Accessed_Dont_Know</t>
  </si>
  <si>
    <t>AssessmentNewServicesRecommended_MentalHealthTreatment_11_to_13_IntensiveBehavioralHealthServices_Accessed_Yes</t>
  </si>
  <si>
    <t>AssessmentNewServicesRecommended_MentalHealthTreatment_11_to_13_IntensiveBehavioralHealthServices_Accessed_No</t>
  </si>
  <si>
    <t>AssessmentNewServicesRecommended_MentalHealthTreatment_11_to_13_IntensiveBehavioralHealthServices_Accessed_Dont_Know</t>
  </si>
  <si>
    <t>AssessmentNewServicesRecommended_MentalHealthTreatment_11_to_13_PsychiatricResidentialTreatmentFacility_Accessed_Yes</t>
  </si>
  <si>
    <t>AssessmentNewServicesRecommended_MentalHealthTreatment_11_to_13_PsychiatricResidentialTreatmentFacility_Accessed_No</t>
  </si>
  <si>
    <t>AssessmentNewServicesRecommended_MentalHealthTreatment_11_to_13_PsychiatricResidentialTreatmentFacility_Accessed_Dont_Know</t>
  </si>
  <si>
    <t>AssessmentNewServicesRecommended_MentalHealthTreatment_11_to_13_PsychiatricInpatientHospitalization_Accessed_Yes</t>
  </si>
  <si>
    <t>AssessmentNewServicesRecommended_MentalHealthTreatment_11_to_13_PsychiatricInpatientHospitalization_Accessed_No</t>
  </si>
  <si>
    <t>AssessmentNewServicesRecommended_MentalHealthTreatment_11_to_13_PsychiatricInpatientHospitalization_Accessed_Dont_Know</t>
  </si>
  <si>
    <t>AssessmentNewServicesRecommended_NonTreatmentSuports_14_and_Older_SchoolSupports_Accessed_Yes</t>
  </si>
  <si>
    <r>
      <rPr>
        <b/>
        <sz val="12"/>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Sum of fields must be equal or larger than the value of </t>
    </r>
    <r>
      <rPr>
        <b/>
        <sz val="10"/>
        <color theme="1"/>
        <rFont val="Calibri"/>
        <family val="2"/>
        <scheme val="minor"/>
      </rPr>
      <t xml:space="preserve">AssessmentResults_14_and_Older_New_Services_Recommended
</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If the value of </t>
    </r>
    <r>
      <rPr>
        <b/>
        <sz val="10"/>
        <color theme="1"/>
        <rFont val="Calibri"/>
        <family val="2"/>
        <scheme val="minor"/>
      </rPr>
      <t>AssessmentResults_14_and_Older_New_Services_Recommended</t>
    </r>
    <r>
      <rPr>
        <sz val="10"/>
        <color theme="1"/>
        <rFont val="Calibri"/>
        <family val="2"/>
        <scheme val="minor"/>
      </rPr>
      <t xml:space="preserve"> is </t>
    </r>
    <r>
      <rPr>
        <b/>
        <sz val="10"/>
        <color theme="1"/>
        <rFont val="Calibri"/>
        <family val="2"/>
        <scheme val="minor"/>
      </rPr>
      <t>0</t>
    </r>
    <r>
      <rPr>
        <sz val="10"/>
        <color theme="1"/>
        <rFont val="Calibri"/>
        <family val="2"/>
        <scheme val="minor"/>
      </rPr>
      <t xml:space="preserve">, then all fields must be </t>
    </r>
    <r>
      <rPr>
        <b/>
        <sz val="10"/>
        <color theme="1"/>
        <rFont val="Calibri"/>
        <family val="2"/>
        <scheme val="minor"/>
      </rPr>
      <t>0</t>
    </r>
    <r>
      <rPr>
        <sz val="10"/>
        <color theme="1"/>
        <rFont val="Calibri"/>
        <family val="2"/>
        <scheme val="minor"/>
      </rPr>
      <t xml:space="preserve">
</t>
    </r>
  </si>
  <si>
    <t>AssessmentNewServicesRecommended_NonTreatmentSuports_14_and_Older_SchoolSupports_Accessed_No</t>
  </si>
  <si>
    <t>AssessmentNewServicesRecommended_NonTreatmentSuports_14_and_Older_SchoolSupports_Accessed_Dont_Know</t>
  </si>
  <si>
    <t>AssessmentNewServicesRecommended_NonTreatmentSuports_14_and_Older_LiaisonSupportServices_Accessed_Yes</t>
  </si>
  <si>
    <t>AssessmentNewServicesRecommended_NonTreatmentSuports_14_and_Older_LiaisonSupportServices_Accessed_No</t>
  </si>
  <si>
    <t>AssessmentNewServicesRecommended_NonTreatmentSuports_14_and_Older_LiaisonSupportServices_Accessed_Dont_Know</t>
  </si>
  <si>
    <t>AssessmentNewServicesRecommended_NonTreatmentSuports_14_and_Older_CommunityBasedSupportServices_Accessed_Yes</t>
  </si>
  <si>
    <t>AssessmentNewServicesRecommended_NonTreatmentSuports_14_and_Older_CommunityBasedSupportServices_Accessed_No</t>
  </si>
  <si>
    <t>AssessmentNewServicesRecommended_NonTreatmentSuports_14_and_Older_CommunityBasedSupportServices_Accessed_Dont_Know</t>
  </si>
  <si>
    <t>AssessmentNewServicesRecommended_NonTreatmentSuports_14_and_Older_ReferraltoCrisisInterventionServices_Accessed_Yes</t>
  </si>
  <si>
    <t>AssessmentNewServicesRecommended_NonTreatmentSuports_14_and_Older_ReferraltoCrisisInterventionServices_Accessed_No</t>
  </si>
  <si>
    <t>AssessmentNewServicesRecommended_NonTreatmentSuports_14_and_Older_ReferraltoCrisisInterventionServices_Accessed_Dont_Know</t>
  </si>
  <si>
    <t>AssessmentNewServicesRecommended_NonTreatmentSuports_14_and_Older_OtherAssessment_Accessed_Yes</t>
  </si>
  <si>
    <t>AssessmentNewServicesRecommended_NonTreatmentSuports_14_and_Older_OtherAssessment_Accessed_No</t>
  </si>
  <si>
    <t>AssessmentNewServicesRecommended_NonTreatmentSuports_14_and_Older_OtherAssessment_Accessed_Dont_Know</t>
  </si>
  <si>
    <t>AssessmentNewServicesRecommended_DrugandAlcoholTreatment_14_and_Older_DAEarlyIntervention_Accessed_Yes</t>
  </si>
  <si>
    <t>AssessmentNewServicesRecommended_DrugandAlcoholTreatment_14_and_Older_DAEarlyIntervention_Accessed_No</t>
  </si>
  <si>
    <t>AssessmentNewServicesRecommended_DrugandAlcoholTreatment_14_and_Older_DAEarlyIntervention_Accessed_Dont_Know</t>
  </si>
  <si>
    <t>AssessmentNewServicesRecommended_DrugandAlcoholTreatment_14_and_Older_DAOutpatient_Accessed_Yes</t>
  </si>
  <si>
    <t>AssessmentNewServicesRecommended_DrugandAlcoholTreatment_14_and_Older_DAOutpatient_Accessed_No</t>
  </si>
  <si>
    <t>AssessmentNewServicesRecommended_DrugandAlcoholTreatment_14_and_Older_DAOutpatient_Accessed_Dont_Know</t>
  </si>
  <si>
    <t>AssessmentNewServicesRecommended_DrugandAlcoholTreatment_14_and_Older_DAIntensiveOutpatient_Accessed_Yes</t>
  </si>
  <si>
    <t>AssessmentNewServicesRecommended_DrugandAlcoholTreatment_14_and_Older_DAIntensiveOutpatient_Accessed_No</t>
  </si>
  <si>
    <t>AssessmentNewServicesRecommended_DrugandAlcoholTreatment_14_and_Older_DAIntensiveOutpatient_Accessed_Dont_Know</t>
  </si>
  <si>
    <t>AssessmentNewServicesRecommended_DrugandAlcoholTreatment_14_and_Older_DAPartialHospitalization_Accessed_Yes</t>
  </si>
  <si>
    <t>AssessmentNewServicesRecommended_DrugandAlcoholTreatment_14_and_Older_DAPartialHospitalization_Accessed_No</t>
  </si>
  <si>
    <t>AssessmentNewServicesRecommended_DrugandAlcoholTreatment_14_and_Older_DAPartialHospitalization_Accessed_Dont_Know</t>
  </si>
  <si>
    <t>AssessmentNewServicesRecommended_DrugandAlcoholTreatment_14_and_Older_DAResidentialInpatient_Accessed_Yes</t>
  </si>
  <si>
    <t>AssessmentNewServicesRecommended_DrugandAlcoholTreatment_14_and_Older_DAResidentialInpatient_Accessed_No</t>
  </si>
  <si>
    <t>AssessmentNewServicesRecommended_DrugandAlcoholTreatment_14_and_Older_DAResidentialInpatient_Accessed_Dont_Know</t>
  </si>
  <si>
    <t>AssessmentNewServicesRecommended_DrugandAlcoholTreatment_14_and_Older_DAIntensiveInpatient_Accessed_Yes</t>
  </si>
  <si>
    <t>AssessmentNewServicesRecommended_DrugandAlcoholTreatment_14_and_Older_DAIntensiveInpatient_Accessed_No</t>
  </si>
  <si>
    <t>AssessmentNewServicesRecommended_DrugandAlcoholTreatment_14_and_Older_DAIntensiveInpatient_Accessed_Dont_Know</t>
  </si>
  <si>
    <t>AssessmentNewServicesRecommended_MentalHealthTreatment_14_and_Older_PsychiatricOutpatientSchoolBased_Accessed_Yes</t>
  </si>
  <si>
    <t>AssessmentNewServicesRecommended_MentalHealthTreatment_14_and_Older_PsychiatricOutpatientSchoolBased_Accessed_No</t>
  </si>
  <si>
    <t>AssessmentNewServicesRecommended_MentalHealthTreatment_14_and_Older_PsychiatricOutpatientSchoolBased_Accessed_Dont_Know</t>
  </si>
  <si>
    <t>AssessmentNewServicesRecommended_MentalHealthTreatment_14_and_Older_PsychiatricOutpatientCommunityBased_Accessed_Yes</t>
  </si>
  <si>
    <t>AssessmentNewServicesRecommended_MentalHealthTreatment_14_and_Older_PsychiatricOutpatientCommunityBased_Accessed_No</t>
  </si>
  <si>
    <t>AssessmentNewServicesRecommended_MentalHealthTreatment_14_and_Older_PsychiatricOutpatientCommunityBased_Accessed_Dont_Know</t>
  </si>
  <si>
    <t>AssessmentNewServicesRecommended_MentalHealthTreatment_14_and_Older_PsychiatricPartialHospitalization_Accessed_Yes</t>
  </si>
  <si>
    <t>AssessmentNewServicesRecommended_MentalHealthTreatment_14_and_Older_PsychiatricPartialHospitalization_Accessed_No</t>
  </si>
  <si>
    <t>AssessmentNewServicesRecommended_MentalHealthTreatment_14_and_Older_PsychiatricPartialHospitalization_Accessed_Dont_Know</t>
  </si>
  <si>
    <t>AssessmentNewServicesRecommended_MentalHealthTreatment_14_and_Older_FamilybasedMentalHealthServices_Accessed_Yes</t>
  </si>
  <si>
    <t>AssessmentNewServicesRecommended_MentalHealthTreatment_14_and_Older_FamilybasedMentalHealthServices_Accessed_No</t>
  </si>
  <si>
    <t>AssessmentNewServicesRecommended_MentalHealthTreatment_14_and_Older_FamilybasedMentalHealthServices_Accessed_Dont_Know</t>
  </si>
  <si>
    <t>AssessmentNewServicesRecommended_MentalHealthTreatment_14_and_Older_IntensiveBehavioralHealthServices_Accessed_Yes</t>
  </si>
  <si>
    <t>AssessmentNewServicesRecommended_MentalHealthTreatment_14_and_Older_IntensiveBehavioralHealthServices_Accessed_No</t>
  </si>
  <si>
    <t>AssessmentNewServicesRecommended_MentalHealthTreatment_14_and_Older_IntensiveBehavioralHealthServices_Accessed_Dont_Know</t>
  </si>
  <si>
    <t>AssessmentNewServicesRecommended_MentalHealthTreatment_14_and_Older_PsychiatricResidentialTreatmentFacility_Accessed_Yes</t>
  </si>
  <si>
    <t>AssessmentNewServicesRecommended_MentalHealthTreatment_14_and_Older_PsychiatricResidentialTreatmentFacility_Accessed_No</t>
  </si>
  <si>
    <t>AssessmentNewServicesRecommended_MentalHealthTreatment_14_and_Older_PsychiatricResidentialTreatmentFacility_Accessed_Dont_Know</t>
  </si>
  <si>
    <t>AssessmentNewServicesRecommended_MentalHealthTreatment_14_and_Older_PsychiatricInpatientHospitalization_Accessed_Yes</t>
  </si>
  <si>
    <t>AssessmentNewServicesRecommended_MentalHealthTreatment_14_and_Older_PsychiatricInpatientHospitalization_Accessed_No</t>
  </si>
  <si>
    <t>AssessmentNewServicesRecommended_MentalHealthTreatment_14_and_Older_PsychiatricInpatientHospitalization_Accessed_Dont_Know</t>
  </si>
  <si>
    <t>Enter a count for the PRIMARY reason for not accessing each recommended service.  A student recommended to multiple services can be counted more than once if the primary reason for not accessing each service is different</t>
  </si>
  <si>
    <t>ReasonAssessmentRecommendationNotAccessed_NonTreatmentSuport_InsuranceIssuesUnableToPay</t>
  </si>
  <si>
    <r>
      <rPr>
        <b/>
        <sz val="10"/>
        <color theme="1"/>
        <rFont val="Calibri"/>
        <family val="2"/>
        <scheme val="minor"/>
      </rPr>
      <t>GROUP CONDITIONS</t>
    </r>
    <r>
      <rPr>
        <sz val="10"/>
        <color theme="1"/>
        <rFont val="Calibri"/>
        <family val="2"/>
        <scheme val="minor"/>
      </rPr>
      <t xml:space="preserve">
</t>
    </r>
    <r>
      <rPr>
        <sz val="10"/>
        <color rgb="FFFF0000"/>
        <rFont val="Calibri"/>
        <family val="2"/>
        <scheme val="minor"/>
      </rPr>
      <t xml:space="preserve">● </t>
    </r>
    <r>
      <rPr>
        <sz val="10"/>
        <color theme="1"/>
        <rFont val="Calibri"/>
        <family val="2"/>
        <scheme val="minor"/>
      </rPr>
      <t xml:space="preserve">The sum of the </t>
    </r>
    <r>
      <rPr>
        <b/>
        <sz val="10"/>
        <color theme="1"/>
        <rFont val="Calibri"/>
        <family val="2"/>
        <scheme val="minor"/>
      </rPr>
      <t>ReasonAssessmentRecommendationNotAccessed_NonTreatmentSuports_X</t>
    </r>
    <r>
      <rPr>
        <sz val="10"/>
        <color theme="1"/>
        <rFont val="Calibri"/>
        <family val="2"/>
        <scheme val="minor"/>
      </rPr>
      <t xml:space="preserve"> fields must be equal to the sum of the following fields: {
AssessmentNewServicesRecommended_NonTreatmentSuports_10_or_Younger_SchoolSupports_Accessed_No
AssessmentNewServicesRecommended_NonTreatmentSuports_10_or_Younger_LiaisonSupportServices_Accessed_No
AssessmentNewServicesRecommended_NonTreatmentSuports_10_or_Younger_CommunityBasedSupportServices_Accessed_No
AssessmentNewServicesRecommended_NonTreatmentSuports_10_or_Younger_ReferraltoCrisisInterventionServices_Accessed_No
AssessmentNewServicesRecommended_NonTreatmentSuports_10_or_Younger_OtherAssessment_Accessed_No
AssessmentNewServicesRecommended_NonTreatmentSuports_11_to_13_SchoolSupports_Accessed_No
AssessmentNewServicesRecommended_NonTreatmentSuports_11_to_13_LiaisonSupportServices_Accessed_No
AssessmentNewServicesRecommended_NonTreatmentSuports_11_to_13_CommunityBasedSupportServices_Accessed_No
AssessmentNewServicesRecommended_NonTreatmentSuports_11_to_13_ReferraltoCrisisInterventionServices_Accessed_No
AssessmentNewServicesRecommended_NonTreatmentSuports_11_to_13_OtherAssessment_Accessed_No
AssessmentNewServicesRecommended_NonTreatmentSuports_14_and_Older_SchoolSupports_Accessed_No
AssessmentNewServicesRecommended_NonTreatmentSuports_14_and_Older_LiaisonSupportServices_Accessed_No
AssessmentNewServicesRecommended_NonTreatmentSuports_14_and_Older_CommunityBasedSupportServices_Accessed_No
AssessmentNewServicesRecommended_NonTreatmentSuports_14_and_Older_ReferraltoCrisisInterventionServices_Accessed_No
AssessmentNewServicesRecommended_NonTreatmentSuports_14_and_Older_OtherAssessment_Accessed_No}
</t>
    </r>
    <r>
      <rPr>
        <sz val="10"/>
        <color rgb="FFFF0000"/>
        <rFont val="Calibri"/>
        <family val="2"/>
        <scheme val="minor"/>
      </rPr>
      <t>●</t>
    </r>
    <r>
      <rPr>
        <sz val="10"/>
        <color theme="1"/>
        <rFont val="Calibri"/>
        <family val="2"/>
        <scheme val="minor"/>
      </rPr>
      <t xml:space="preserve"> If the sum of the 15 </t>
    </r>
    <r>
      <rPr>
        <b/>
        <sz val="10"/>
        <color theme="1"/>
        <rFont val="Calibri"/>
        <family val="2"/>
        <scheme val="minor"/>
      </rPr>
      <t>AssessmentNewServicesRecommend_NonTreatmentSuports_No</t>
    </r>
    <r>
      <rPr>
        <sz val="10"/>
        <color theme="1"/>
        <rFont val="Calibri"/>
        <family val="2"/>
        <scheme val="minor"/>
      </rPr>
      <t xml:space="preserve"> fields is </t>
    </r>
    <r>
      <rPr>
        <b/>
        <sz val="10"/>
        <color theme="1"/>
        <rFont val="Calibri"/>
        <family val="2"/>
        <scheme val="minor"/>
      </rPr>
      <t>0</t>
    </r>
    <r>
      <rPr>
        <sz val="10"/>
        <color theme="1"/>
        <rFont val="Calibri"/>
        <family val="2"/>
        <scheme val="minor"/>
      </rPr>
      <t xml:space="preserve">, then the sum of the seven </t>
    </r>
    <r>
      <rPr>
        <b/>
        <sz val="10"/>
        <color theme="1"/>
        <rFont val="Calibri"/>
        <family val="2"/>
        <scheme val="minor"/>
      </rPr>
      <t>ReasonAssessmentRecommendationNotAccessed_NonTreatmentSuportsX</t>
    </r>
    <r>
      <rPr>
        <sz val="10"/>
        <color theme="1"/>
        <rFont val="Calibri"/>
        <family val="2"/>
        <scheme val="minor"/>
      </rPr>
      <t xml:space="preserve"> fields must be </t>
    </r>
    <r>
      <rPr>
        <b/>
        <sz val="10"/>
        <color theme="1"/>
        <rFont val="Calibri"/>
        <family val="2"/>
        <scheme val="minor"/>
      </rPr>
      <t>0</t>
    </r>
    <r>
      <rPr>
        <sz val="10"/>
        <color theme="1"/>
        <rFont val="Calibri"/>
        <family val="2"/>
        <scheme val="minor"/>
      </rPr>
      <t xml:space="preserve">
</t>
    </r>
  </si>
  <si>
    <t>ReasonAssessmentRecommendationNotAccessed_NonTreatmentSuport_LackOfTransportation</t>
  </si>
  <si>
    <t>ReasonAssessmentRecommendationNotAccessed_NonTreatmentSuport_StudentRefusal</t>
  </si>
  <si>
    <t>ReasonAssessmentRecommendationNotAccessed_NonTreatmentSuport_ParentGuardianInactionOrRefusal</t>
  </si>
  <si>
    <t>ReasonAssessmentRecommendationNotAccessed_NonTreatmentSuport_ClientWaitingList</t>
  </si>
  <si>
    <t>ReasonAssessmentRecommendationNotAccessed_NonTreatmentSuport_ReasonUnknown</t>
  </si>
  <si>
    <t>ReasonAssessmentRecommendationNotAccessed_NonTreatmentSuport_Other</t>
  </si>
  <si>
    <t>ReasonAssessmentRecommendationNotAccessed_DrugandAlcoholTreatment_InsuranceIssuesUnableToPay</t>
  </si>
  <si>
    <r>
      <rPr>
        <b/>
        <sz val="10"/>
        <color theme="1"/>
        <rFont val="Calibri"/>
        <family val="2"/>
        <scheme val="minor"/>
      </rPr>
      <t>GROUP CONDITIONS</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The sum of the </t>
    </r>
    <r>
      <rPr>
        <b/>
        <sz val="10"/>
        <color theme="1"/>
        <rFont val="Calibri"/>
        <family val="2"/>
        <scheme val="minor"/>
      </rPr>
      <t>ReasonAssessmentRecommendationNotAccessed_DrugandAlcoholTreatment_X</t>
    </r>
    <r>
      <rPr>
        <sz val="10"/>
        <color theme="1"/>
        <rFont val="Calibri"/>
        <family val="2"/>
        <scheme val="minor"/>
      </rPr>
      <t xml:space="preserve"> fields must be equal to the sum of the following fields: {
AssessmentNewServicesRecommended_DrugandAlcoholTreatment_10_or_Younger_DAEarlyIntervention_Accessed_No
AssessmentNewServicesRecommended_DrugandAlcoholTreatment_10_or_Younger_DAOutpatient_Accessed_No
AssessmentNewServicesRecommended_DrugandAlcoholTreatment_10_or_Younger_DAIntensiveOutpatient_Accessed_No
AssessmentNewServicesRecommended_DrugandAlcoholTreatment_10_or_Younger_DAPartialHospitalization_Accessed_No
AssessmentNewServicesRecommended_DrugandAlcoholTreatment_10_or_Younger_DAResidentialInpatient_Accessed_No
AssessmentNewServicesRecommended_DrugandAlcoholTreatment_10_or_Younger_DAIntensiveInpatient_Accessed_No
AssessmentNewServicesRecommended_DrugandAlcoholTreatment_11_to_13_DAEarlyIntervention_Accessed_No
AssessmentNewServicesRecommended_DrugandAlcoholTreatment_11_to_13_DAOutpatient_Accessed_No
AssessmentNewServicesRecommended_DrugandAlcoholTreatment_11_to_13_DAIntensiveOutpatient_Accessed_No
AssessmentNewServicesRecommended_DrugandAlcoholTreatment_11_to_13_DAPartialHospitalization_Accessed_No
AssessmentNewServicesRecommended_DrugandAlcoholTreatment_11_to_13_DAResidentialInpatient_Accessed_No
AssessmentNewServicesRecommended_DrugandAlcoholTreatment_11_to_13_DAIntensiveInpatient_Accessed_No
AssessmentNewServicesRecommended_DrugandAlcoholTreatment_14_and_Older_DAEarlyIntervention_Accessed_No
AssessmentNewServicesRecommended_DrugandAlcoholTreatment_14_and_Older_DAOutpatient_Accessed_No
AssessmentNewServicesRecommended_DrugandAlcoholTreatment_14_and_Older_DAIntensiveOutpatient_Accessed_No
AssessmentNewServicesRecommended_DrugandAlcoholTreatment_14_and_Older_DAPartialHospitalization_Accessed_No
AssessmentNewServicesRecommended_DrugandAlcoholTreatment_14_and_Older_DAResidentialInpatient_Accessed_No
AssessmentNewServicesRecommended_DrugandAlcoholTreatment_14_and_Older_DAIntensiveInpatient_Accessed_No}
</t>
    </r>
    <r>
      <rPr>
        <sz val="10"/>
        <color rgb="FFFF0000"/>
        <rFont val="Calibri"/>
        <family val="2"/>
        <scheme val="minor"/>
      </rPr>
      <t>●</t>
    </r>
    <r>
      <rPr>
        <sz val="10"/>
        <color theme="1"/>
        <rFont val="Calibri"/>
        <family val="2"/>
        <scheme val="minor"/>
      </rPr>
      <t xml:space="preserve"> If the sum of the 18 </t>
    </r>
    <r>
      <rPr>
        <b/>
        <sz val="10"/>
        <color theme="1"/>
        <rFont val="Calibri"/>
        <family val="2"/>
        <scheme val="minor"/>
      </rPr>
      <t>AssessmentNewServicesRecommend_DrugandAlcoholTreatment_No</t>
    </r>
    <r>
      <rPr>
        <sz val="10"/>
        <color theme="1"/>
        <rFont val="Calibri"/>
        <family val="2"/>
        <scheme val="minor"/>
      </rPr>
      <t xml:space="preserve"> fields is</t>
    </r>
    <r>
      <rPr>
        <b/>
        <sz val="10"/>
        <color theme="1"/>
        <rFont val="Calibri"/>
        <family val="2"/>
        <scheme val="minor"/>
      </rPr>
      <t xml:space="preserve"> 0</t>
    </r>
    <r>
      <rPr>
        <sz val="10"/>
        <color theme="1"/>
        <rFont val="Calibri"/>
        <family val="2"/>
        <scheme val="minor"/>
      </rPr>
      <t xml:space="preserve">, then the sum of the seven </t>
    </r>
    <r>
      <rPr>
        <b/>
        <sz val="10"/>
        <color theme="1"/>
        <rFont val="Calibri"/>
        <family val="2"/>
        <scheme val="minor"/>
      </rPr>
      <t>ReasonAssessmentRecommendationNotAccessed_DrugandAlcoholTreatmentX</t>
    </r>
    <r>
      <rPr>
        <sz val="10"/>
        <color theme="1"/>
        <rFont val="Calibri"/>
        <family val="2"/>
        <scheme val="minor"/>
      </rPr>
      <t xml:space="preserve"> fields must be </t>
    </r>
    <r>
      <rPr>
        <b/>
        <sz val="10"/>
        <color theme="1"/>
        <rFont val="Calibri"/>
        <family val="2"/>
        <scheme val="minor"/>
      </rPr>
      <t>0</t>
    </r>
    <r>
      <rPr>
        <sz val="10"/>
        <color theme="1"/>
        <rFont val="Calibri"/>
        <family val="2"/>
        <scheme val="minor"/>
      </rPr>
      <t xml:space="preserve">
</t>
    </r>
  </si>
  <si>
    <t>ReasonAssessmentRecommendationNotAccessed_DrugandAlcoholTreatment_LackOfTransportation</t>
  </si>
  <si>
    <t>ReasonAssessmentRecommendationNotAccessed_DrugandAlcoholTreatment_StudentRefusal</t>
  </si>
  <si>
    <t>ReasonAssessmentRecommendationNotAccessed_DrugandAlcoholTreatment_ParentGuardianInactionOrRefusal</t>
  </si>
  <si>
    <t>ReasonAssessmentRecommendationNotAccessed_DrugandAlcoholTreatment_ClientWaitingList</t>
  </si>
  <si>
    <t>ReasonAssessmentRecommendationNotAccessed_DrugandAlcoholTreatment_ReasonUnknown</t>
  </si>
  <si>
    <t>ReasonAssessmentRecommendationNotAccessed_DrugandAlcoholTreatment_Other</t>
  </si>
  <si>
    <t>ReasonAssessmentRecommendationNotAccessed_MentalHealthlTreatment_InsuranceIssuesUnableToPay</t>
  </si>
  <si>
    <r>
      <rPr>
        <b/>
        <sz val="10"/>
        <color theme="1"/>
        <rFont val="Calibri"/>
        <family val="2"/>
        <scheme val="minor"/>
      </rPr>
      <t>GROUP CONDITIONS</t>
    </r>
    <r>
      <rPr>
        <sz val="10"/>
        <color theme="1"/>
        <rFont val="Calibri"/>
        <family val="2"/>
        <scheme val="minor"/>
      </rPr>
      <t xml:space="preserve">
</t>
    </r>
    <r>
      <rPr>
        <sz val="10"/>
        <color rgb="FFFF0000"/>
        <rFont val="Calibri"/>
        <family val="2"/>
        <scheme val="minor"/>
      </rPr>
      <t xml:space="preserve">● </t>
    </r>
    <r>
      <rPr>
        <sz val="10"/>
        <color theme="1"/>
        <rFont val="Calibri"/>
        <family val="2"/>
        <scheme val="minor"/>
      </rPr>
      <t xml:space="preserve">The sum of the </t>
    </r>
    <r>
      <rPr>
        <b/>
        <sz val="10"/>
        <color theme="1"/>
        <rFont val="Calibri"/>
        <family val="2"/>
        <scheme val="minor"/>
      </rPr>
      <t>ReasonAssessmentRecommendationNotAccessed_MentalHealthlTreatment_X</t>
    </r>
    <r>
      <rPr>
        <sz val="10"/>
        <color theme="1"/>
        <rFont val="Calibri"/>
        <family val="2"/>
        <scheme val="minor"/>
      </rPr>
      <t xml:space="preserve"> fields must be equa to the the sum of the following fields: {
AssessmentNewServicesRecommended_MentalHealthTreatment_10_or_Younger_PsychiatricOutpatientSchoolBased_Accessed_No
AssessmentNewServicesRecommended_MentalHealthTreatment_10_or_Younger_PsychiatricOutpatientCommunityBased_Accessed_No
AssessmentNewServicesRecommended_MentalHealthTreatment_10_or_Younger_PsychiatricPartialHospitalization_Accessed_No
AssessmentNewServicesRecommended_MentalHealthTreatment_10_or_Younger_FamilybasedMentalHealthServices_Accessed_No
AssessmentNewServicesRecommended_MentalHealthTreatment_10_or_Younger_IntensiveBehavioralHealthServices_Accessed_No
AssessmentNewServicesRecommended_MentalHealthTreatment_10_or_Younger_PsychiatricResidentialTreatmentFacility_Accessed_No
AssessmentNewServicesRecommended_MentalHealthTreatment_10_or_Younger_PsychiatricInpatientHospitalization_Accessed_No
AssessmentNewServicesRecommended_MentalHealthTreatment_11_to_13_PsychiatricOutpatientSchoolBased_Accessed_No
AssessmentNewServicesRecommended_MentalHealthTreatment_11_to_13_PsychiatricOutpatientCommunityBased_Accessed_No
AssessmentNewServicesRecommended_MentalHealthTreatment_11_to_13_PsychiatricPartialHospitalization_Accessed_No
AssessmentNewServicesRecommended_MentalHealthTreatment_11_to_13_FamilybasedMentalHealthServices_Accessed_No
AssessmentNewServicesRecommended_MentalHealthTreatment_11_to_13_IntensiveBehavioralHealthServices_Accessed_No
AssessmentNewServicesRecommended_MentalHealthTreatment_11_to_13_PsychiatricResidentialTreatmentFacility_Accessed_No
AssessmentNewServicesRecommended_MentalHealthTreatment_11_to_13_PsychiatricInpatientHospitalization_Accessed_No
AssessmentNewServicesRecommended_MentalHealthTreatment_14_and_Older_PsychiatricOutpatientSchoolBased_Accessed_No
AssessmentNewServicesRecommended_MentalHealthTreatment_14_and_Older_PsychiatricOutpatientCommunityBased_Accessed_No
AssessmentNewServicesRecommended_MentalHealthTreatment_14_and_Older_PsychiatricPartialHospitalization_Accessed_No
AssessmentNewServicesRecommended_MentalHealthTreatment_14_and_Older_FamilybasedMentalHealthServices_Accessed_No
AssessmentNewServicesRecommended_MentalHealthTreatment_14_and_Older_IntensiveBehavioralHealthServices_Accessed_No
AssessmentNewServicesRecommended_MentalHealthTreatment_14_and_Older_PsychiatricResidentialTreatmentFacility_Accessed_No
AssessmentNewServicesRecommended_MentalHealthTreatment_14_and_Older_PsychiatricInpatientHospitalization_Accessed_No }
</t>
    </r>
    <r>
      <rPr>
        <sz val="10"/>
        <color rgb="FFFF0000"/>
        <rFont val="Calibri"/>
        <family val="2"/>
        <scheme val="minor"/>
      </rPr>
      <t>●</t>
    </r>
    <r>
      <rPr>
        <sz val="10"/>
        <color theme="1"/>
        <rFont val="Calibri"/>
        <family val="2"/>
        <scheme val="minor"/>
      </rPr>
      <t xml:space="preserve"> If the sum of the 21 </t>
    </r>
    <r>
      <rPr>
        <b/>
        <sz val="10"/>
        <color theme="1"/>
        <rFont val="Calibri"/>
        <family val="2"/>
        <scheme val="minor"/>
      </rPr>
      <t>AssessmentNewServicesRecommend_MentalHealthTreatment_No</t>
    </r>
    <r>
      <rPr>
        <sz val="10"/>
        <color theme="1"/>
        <rFont val="Calibri"/>
        <family val="2"/>
        <scheme val="minor"/>
      </rPr>
      <t xml:space="preserve"> fields is </t>
    </r>
    <r>
      <rPr>
        <b/>
        <sz val="10"/>
        <color theme="1"/>
        <rFont val="Calibri"/>
        <family val="2"/>
        <scheme val="minor"/>
      </rPr>
      <t>0</t>
    </r>
    <r>
      <rPr>
        <sz val="10"/>
        <color theme="1"/>
        <rFont val="Calibri"/>
        <family val="2"/>
        <scheme val="minor"/>
      </rPr>
      <t xml:space="preserve">, then the sum of the seven </t>
    </r>
    <r>
      <rPr>
        <b/>
        <sz val="10"/>
        <color theme="1"/>
        <rFont val="Calibri"/>
        <family val="2"/>
        <scheme val="minor"/>
      </rPr>
      <t>ReasonAssessmentRecommendationNotAccessed_MentalHealthTreatmentX</t>
    </r>
    <r>
      <rPr>
        <sz val="10"/>
        <color theme="1"/>
        <rFont val="Calibri"/>
        <family val="2"/>
        <scheme val="minor"/>
      </rPr>
      <t xml:space="preserve"> fields must be</t>
    </r>
    <r>
      <rPr>
        <b/>
        <sz val="10"/>
        <color theme="1"/>
        <rFont val="Calibri"/>
        <family val="2"/>
        <scheme val="minor"/>
      </rPr>
      <t xml:space="preserve"> 0</t>
    </r>
  </si>
  <si>
    <t>ReasonAssessmentRecommendationNotAccessed_MentalHealthlTreatment_LackOfTransportation</t>
  </si>
  <si>
    <t>ReasonAssessmentRecommendationNotAccessed_MentalHealthlTreatment_StudentRefusal</t>
  </si>
  <si>
    <t>ReasonAssessmentRecommendationNotAccessed_MentalHealthlTreatment_ParentGuardianInactionOrRefusal</t>
  </si>
  <si>
    <t>ReasonAssessmentRecommendationNotAccessed_MentalHealthlTreatment_ClientWaitingList</t>
  </si>
  <si>
    <t>ReasonAssessmentRecommendationNotAccessed_MentalHealthlTreatment_ReasonUnknown</t>
  </si>
  <si>
    <t>ReasonAssessmentRecommendationNotAccessed_MentalHealthlTreatment_Other</t>
  </si>
  <si>
    <t>Roster - Grade</t>
  </si>
  <si>
    <t>Roster - Gender</t>
  </si>
  <si>
    <t>Roster - Race</t>
  </si>
  <si>
    <t>Yes/No</t>
  </si>
  <si>
    <t>Service Choice</t>
  </si>
  <si>
    <t>K</t>
  </si>
  <si>
    <t>Rec. Drug &amp; Alcohol Assessment</t>
  </si>
  <si>
    <t>CASD- Corry Area High School</t>
  </si>
  <si>
    <t>Rec. Mental Health Assessment</t>
  </si>
  <si>
    <t>CASD- Corry Area Intermediate School</t>
  </si>
  <si>
    <t>Non-Binary/Other</t>
  </si>
  <si>
    <t>Rec. Co-occurring Assessment</t>
  </si>
  <si>
    <t>CASD- Corry Area Middle School</t>
  </si>
  <si>
    <t>Rec. In-school support services (e.g. academic supports, one-to-one or group supports by school staff)</t>
  </si>
  <si>
    <t>CASD- Corry Area Primary School</t>
  </si>
  <si>
    <t>Rec. Liaison support services (e.g. non-treatment individual/group supports)</t>
  </si>
  <si>
    <t>ECSS- Cathedral Preparatory School</t>
  </si>
  <si>
    <t>Rec. Community-based support services (e.g. Counseling, Big Brothers/ Sisters, Support Groups etc.)</t>
  </si>
  <si>
    <t>ECSS-Mercyhurst Preparatory School</t>
  </si>
  <si>
    <t>Rec. Crisis Intervention Services</t>
  </si>
  <si>
    <t>FLBSD- Fort LeBoeuf High School</t>
  </si>
  <si>
    <t>Rec. Medical/physical health services</t>
  </si>
  <si>
    <t>FLBSD- Fort LeBoeuf Middle School</t>
  </si>
  <si>
    <t>Rec. Other Recommendation</t>
  </si>
  <si>
    <t>FLBSD- Mill Village Elementary School</t>
  </si>
  <si>
    <t>NTSG. School Supports (non-treatment)</t>
  </si>
  <si>
    <t>FLBSD-Robison Elementary School</t>
  </si>
  <si>
    <t>NTSG. Liaison Support Services (non-treatment)</t>
  </si>
  <si>
    <t>FLBSD-Waterford Elementary School</t>
  </si>
  <si>
    <t>NTSG. Community Based or Other Support Services (non-treatment)</t>
  </si>
  <si>
    <t>FSD- Fairview Elementary School</t>
  </si>
  <si>
    <t>NTSG. Referral to Crisis Intervention Services</t>
  </si>
  <si>
    <t>FSD- Fairview High School</t>
  </si>
  <si>
    <t>NTSG. Other Assessment</t>
  </si>
  <si>
    <t>FSD- Fairview Middle School</t>
  </si>
  <si>
    <t>MHT. Psychiatric Outpatient – School Based</t>
  </si>
  <si>
    <t>GMSD- Edinboro Elementary School</t>
  </si>
  <si>
    <t>MHT. Psychiatric Outpatient – Community Based</t>
  </si>
  <si>
    <t xml:space="preserve">GMSD-General McLane High School </t>
  </si>
  <si>
    <t>MHT. Psychiatric Partial Hospitalization Program</t>
  </si>
  <si>
    <t>GMSD-James W. Parker Middle School</t>
  </si>
  <si>
    <t>MHT. Family-based Mental Health Services (FBMHS)</t>
  </si>
  <si>
    <t>GMSD-McKean Elementary School</t>
  </si>
  <si>
    <t>MHT. Intensive Behavioral Health Services (IBHS)</t>
  </si>
  <si>
    <t>GSD- Rice Avenue Middle School</t>
  </si>
  <si>
    <t>MHT. Psychiatric Residential Treatment Facility</t>
  </si>
  <si>
    <t>GSD-Elk Valley Elementary School</t>
  </si>
  <si>
    <t>MHT. Psychiatric Inpatient Hospitalization</t>
  </si>
  <si>
    <t>GSD-Girard High School</t>
  </si>
  <si>
    <t>HCSD-Clark Elementary School</t>
  </si>
  <si>
    <t>HCSD-Harbor Creek Junior High School</t>
  </si>
  <si>
    <t>HCSD-Harbor Creek Senior High School</t>
  </si>
  <si>
    <t>HCSD-Klein Elementary School</t>
  </si>
  <si>
    <t>HCSD-Rolling Ridge Elementary School</t>
  </si>
  <si>
    <t>ISD-Iroquois Elementary School</t>
  </si>
  <si>
    <t>ISD-Iroquois Junior Senior High School</t>
  </si>
  <si>
    <t>MTSD- Asbury Elementary School</t>
  </si>
  <si>
    <t>MTSD- Grandview Elementary School</t>
  </si>
  <si>
    <t>MTSD-Belle Valley Elementary School</t>
  </si>
  <si>
    <t>MTSD-Chestnut Hill Elementary School</t>
  </si>
  <si>
    <t>MTSD-James S Wilson Middle School</t>
  </si>
  <si>
    <t>MTSD-McDowell High School</t>
  </si>
  <si>
    <t>MTSD-McDowell Intermediate High School</t>
  </si>
  <si>
    <t>MTSD-Tracy Elementary School</t>
  </si>
  <si>
    <t>MTSD-Walnut Creek Middle School</t>
  </si>
  <si>
    <t>MTSD-Westlake Middle School</t>
  </si>
  <si>
    <t>NESD- Earle C. David Primary School</t>
  </si>
  <si>
    <t>NESD- Intermediate Elementary School</t>
  </si>
  <si>
    <t>NESD-North East Middle School</t>
  </si>
  <si>
    <t>NWSD- Springfield Elementary School</t>
  </si>
  <si>
    <t>NWSD-Northwestern Elementary School</t>
  </si>
  <si>
    <t>NWSD-Northwestern High School</t>
  </si>
  <si>
    <t>NWSD-Northwestern Middle School</t>
  </si>
  <si>
    <t>UCSD-Union City Area High School</t>
  </si>
  <si>
    <t>UCSD-Union City Area Middle School</t>
  </si>
  <si>
    <t>UCSD-Union City Elementary School</t>
  </si>
  <si>
    <t>WASD- Seneca High School</t>
  </si>
  <si>
    <t>WASD-Wattsburg Area Elementary Center</t>
  </si>
  <si>
    <t>WASD-Wattsburg Area Middle School</t>
  </si>
  <si>
    <t>No Recom</t>
  </si>
  <si>
    <t>Continue Existing</t>
  </si>
  <si>
    <t>Start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</si>
</sst>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m/d/yy;@"/>
  </numFmts>
  <fonts count="30">
    <font>
      <sz val="11"/>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
      <sz val="10"/>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0"/>
      <color rgb="FFFF0000"/>
      <name val="Calibri"/>
      <family val="2"/>
      <scheme val="minor"/>
    </font>
    <font>
      <b/>
      <sz val="10"/>
      <color theme="1"/>
      <name val="Calibri"/>
      <family val="2"/>
      <scheme val="minor"/>
    </font>
    <font>
      <b/>
      <sz val="12"/>
      <name val="Calibri"/>
      <family val="2"/>
    </font>
    <font>
      <sz val="8"/>
      <color rgb="FFFF0000"/>
      <name val="Calibri"/>
      <family val="2"/>
    </font>
    <font>
      <sz val="8"/>
      <name val="Calibri"/>
      <family val="2"/>
    </font>
    <font>
      <sz val="10"/>
      <name val="Calibri"/>
      <family val="2"/>
    </font>
    <font>
      <b/>
      <sz val="10"/>
      <name val="Calibri"/>
      <family val="2"/>
    </font>
    <font>
      <b/>
      <sz val="12"/>
      <name val="Calibri"/>
      <family val="2"/>
      <scheme val="minor"/>
    </font>
    <font>
      <sz val="10"/>
      <name val="Calibri"/>
      <family val="2"/>
      <scheme val="minor"/>
    </font>
    <font>
      <b/>
      <sz val="10"/>
      <name val="Calibri"/>
      <family val="2"/>
      <scheme val="minor"/>
    </font>
    <font>
      <b/>
      <sz val="14"/>
      <color theme="1"/>
      <name val="Calibri"/>
      <family val="2"/>
      <scheme val="minor"/>
    </font>
    <font>
      <sz val="9"/>
      <color rgb="FF1F1F1F"/>
      <name val="Google Sans"/>
      <charset val="1"/>
    </font>
    <font>
      <b/>
      <sz val="18"/>
      <color theme="1"/>
      <name val="Calibri"/>
      <family val="2"/>
      <scheme val="minor"/>
    </font>
    <font>
      <b/>
      <sz val="18"/>
      <color rgb="FFFFFF00"/>
      <name val="Calibri"/>
      <family val="2"/>
      <scheme val="minor"/>
    </font>
    <font>
      <sz val="16"/>
      <color theme="1"/>
      <name val="Calibri"/>
      <family val="2"/>
      <scheme val="minor"/>
    </font>
    <font>
      <sz val="18"/>
      <color theme="1"/>
      <name val="Calibri"/>
      <family val="2"/>
      <scheme val="minor"/>
    </font>
    <font>
      <sz val="14"/>
      <color theme="1"/>
      <name val="Calibri"/>
      <family val="2"/>
      <scheme val="minor"/>
    </font>
    <font>
      <sz val="18"/>
      <color theme="0"/>
      <name val="Calibri"/>
      <family val="2"/>
      <scheme val="minor"/>
    </font>
    <font>
      <b/>
      <sz val="16"/>
      <color theme="0"/>
      <name val="Calibri"/>
      <family val="2"/>
      <scheme val="minor"/>
    </font>
    <font>
      <b/>
      <i/>
      <sz val="10"/>
      <color theme="1"/>
      <name val="Calibri"/>
      <family val="2"/>
      <scheme val="minor"/>
    </font>
    <font>
      <b/>
      <sz val="10"/>
      <color theme="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bgColor indexed="64"/>
      </patternFill>
    </fill>
    <fill>
      <patternFill patternType="solid">
        <fgColor theme="1"/>
        <bgColor indexed="64"/>
      </patternFill>
    </fill>
    <fill>
      <patternFill patternType="solid">
        <fgColor theme="9"/>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bgColor indexed="64"/>
      </patternFill>
    </fill>
    <fill>
      <patternFill patternType="solid">
        <fgColor rgb="FF00B0F0"/>
        <bgColor indexed="64"/>
      </patternFill>
    </fill>
    <fill>
      <patternFill patternType="solid">
        <fgColor theme="4"/>
        <bgColor indexed="64"/>
      </patternFill>
    </fill>
    <fill>
      <patternFill patternType="solid">
        <fgColor theme="5"/>
        <bgColor indexed="64"/>
      </patternFill>
    </fill>
    <fill>
      <patternFill patternType="solid">
        <fgColor rgb="FFFFFF00"/>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BDBD"/>
        <bgColor indexed="64"/>
      </patternFill>
    </fill>
    <fill>
      <patternFill patternType="solid">
        <fgColor theme="8"/>
        <bgColor indexed="64"/>
      </patternFill>
    </fill>
    <fill>
      <patternFill patternType="solid">
        <fgColor theme="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rgb="FF000000"/>
      </bottom>
      <diagonal/>
    </border>
    <border>
      <left style="medium">
        <color indexed="64"/>
      </left>
      <right/>
      <top/>
      <bottom style="thin">
        <color indexed="64"/>
      </bottom>
      <diagonal/>
    </border>
    <border>
      <left style="thick">
        <color indexed="64"/>
      </left>
      <right style="thin">
        <color indexed="64"/>
      </right>
      <top/>
      <bottom style="thin">
        <color rgb="FF000000"/>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thin">
        <color indexed="64"/>
      </left>
      <right/>
      <top/>
      <bottom style="thin">
        <color rgb="FF000000"/>
      </bottom>
      <diagonal/>
    </border>
    <border>
      <left style="thick">
        <color indexed="64"/>
      </left>
      <right style="thin">
        <color indexed="64"/>
      </right>
      <top/>
      <bottom style="thin">
        <color indexed="64"/>
      </bottom>
      <diagonal/>
    </border>
    <border>
      <left style="thick">
        <color theme="1"/>
      </left>
      <right style="thin">
        <color indexed="64"/>
      </right>
      <top/>
      <bottom style="thin">
        <color rgb="FF000000"/>
      </bottom>
      <diagonal/>
    </border>
    <border>
      <left style="thick">
        <color theme="1"/>
      </left>
      <right style="thin">
        <color indexed="64"/>
      </right>
      <top style="thin">
        <color indexed="64"/>
      </top>
      <bottom style="thin">
        <color indexed="64"/>
      </bottom>
      <diagonal/>
    </border>
    <border>
      <left style="thick">
        <color theme="1"/>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theme="1"/>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rgb="FFFF0000"/>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rgb="FFFF0000"/>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medium">
        <color rgb="FF000000"/>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s>
  <cellStyleXfs count="1">
    <xf numFmtId="0" fontId="0" fillId="0" borderId="0"/>
  </cellStyleXfs>
  <cellXfs count="345">
    <xf numFmtId="0" fontId="0" fillId="0" borderId="0" xfId="0"/>
    <xf numFmtId="0" fontId="1" fillId="0" borderId="0" xfId="0" applyFont="1"/>
    <xf numFmtId="0" fontId="0" fillId="0" borderId="1" xfId="0" applyBorder="1" applyAlignment="1">
      <alignment wrapText="1"/>
    </xf>
    <xf numFmtId="0" fontId="0" fillId="2" borderId="0" xfId="0" applyFill="1"/>
    <xf numFmtId="0" fontId="0" fillId="0" borderId="1" xfId="0" applyBorder="1" applyAlignment="1">
      <alignment horizontal="center" textRotation="90"/>
    </xf>
    <xf numFmtId="0" fontId="0" fillId="0" borderId="0" xfId="0" applyAlignment="1">
      <alignment wrapText="1"/>
    </xf>
    <xf numFmtId="0" fontId="1" fillId="2" borderId="0" xfId="0" applyFont="1" applyFill="1" applyAlignment="1">
      <alignment horizontal="center"/>
    </xf>
    <xf numFmtId="0" fontId="0" fillId="2" borderId="0" xfId="0" applyFill="1" applyAlignment="1">
      <alignment horizontal="left"/>
    </xf>
    <xf numFmtId="0" fontId="1" fillId="0" borderId="6" xfId="0" applyFont="1" applyBorder="1" applyAlignment="1">
      <alignment horizontal="center" wrapText="1"/>
    </xf>
    <xf numFmtId="0" fontId="1" fillId="0" borderId="2" xfId="0" applyFont="1" applyBorder="1" applyAlignment="1">
      <alignment horizontal="center" wrapText="1"/>
    </xf>
    <xf numFmtId="0" fontId="1" fillId="0" borderId="7" xfId="0" applyFont="1" applyBorder="1" applyAlignment="1">
      <alignment horizontal="center" wrapText="1"/>
    </xf>
    <xf numFmtId="0" fontId="0" fillId="0" borderId="9" xfId="0" applyBorder="1"/>
    <xf numFmtId="0" fontId="0" fillId="0" borderId="5" xfId="0" applyBorder="1"/>
    <xf numFmtId="0" fontId="0" fillId="0" borderId="1" xfId="0" applyBorder="1" applyAlignment="1">
      <alignment horizontal="center" wrapText="1"/>
    </xf>
    <xf numFmtId="0" fontId="1" fillId="0" borderId="1" xfId="0" applyFont="1" applyBorder="1" applyAlignment="1">
      <alignment horizontal="center" wrapText="1"/>
    </xf>
    <xf numFmtId="0" fontId="1" fillId="0" borderId="12" xfId="0" applyFont="1" applyBorder="1" applyAlignment="1">
      <alignment horizontal="center" wrapText="1"/>
    </xf>
    <xf numFmtId="0" fontId="0" fillId="0" borderId="12" xfId="0" applyBorder="1" applyAlignment="1">
      <alignment horizontal="center" wrapText="1"/>
    </xf>
    <xf numFmtId="0" fontId="0" fillId="0" borderId="12" xfId="0" applyBorder="1" applyAlignment="1">
      <alignment horizontal="center" textRotation="90" wrapText="1"/>
    </xf>
    <xf numFmtId="0" fontId="0" fillId="0" borderId="5" xfId="0" applyBorder="1" applyAlignment="1">
      <alignment horizontal="center" wrapText="1"/>
    </xf>
    <xf numFmtId="0" fontId="1" fillId="0" borderId="14" xfId="0" applyFont="1" applyBorder="1" applyAlignment="1">
      <alignment horizontal="center" wrapText="1"/>
    </xf>
    <xf numFmtId="0" fontId="0" fillId="0" borderId="16" xfId="0" applyBorder="1"/>
    <xf numFmtId="0" fontId="0" fillId="0" borderId="2" xfId="0" applyBorder="1" applyAlignment="1">
      <alignment horizontal="center"/>
    </xf>
    <xf numFmtId="0" fontId="0" fillId="0" borderId="17" xfId="0" applyBorder="1" applyAlignment="1">
      <alignment horizontal="center" wrapText="1"/>
    </xf>
    <xf numFmtId="0" fontId="1" fillId="0" borderId="19" xfId="0" applyFont="1" applyBorder="1" applyAlignment="1">
      <alignment horizontal="center" wrapText="1"/>
    </xf>
    <xf numFmtId="0" fontId="0" fillId="0" borderId="12" xfId="0" applyBorder="1" applyAlignment="1">
      <alignment horizontal="center" textRotation="90"/>
    </xf>
    <xf numFmtId="0" fontId="0" fillId="0" borderId="0" xfId="0" applyAlignment="1">
      <alignment horizontal="center" wrapText="1"/>
    </xf>
    <xf numFmtId="0" fontId="1" fillId="0" borderId="5" xfId="0" applyFont="1" applyBorder="1"/>
    <xf numFmtId="0" fontId="1" fillId="0" borderId="25" xfId="0" applyFont="1" applyBorder="1" applyAlignment="1">
      <alignment horizontal="center" wrapText="1"/>
    </xf>
    <xf numFmtId="1" fontId="0" fillId="0" borderId="25" xfId="0" applyNumberFormat="1" applyBorder="1" applyAlignment="1">
      <alignment horizontal="center" wrapText="1"/>
    </xf>
    <xf numFmtId="0" fontId="1" fillId="3" borderId="0" xfId="0" applyFont="1" applyFill="1" applyAlignment="1">
      <alignment horizontal="center"/>
    </xf>
    <xf numFmtId="0" fontId="1" fillId="3" borderId="0" xfId="0" applyFont="1" applyFill="1"/>
    <xf numFmtId="0" fontId="0" fillId="0" borderId="6" xfId="0" applyBorder="1" applyAlignment="1">
      <alignment horizontal="center"/>
    </xf>
    <xf numFmtId="0" fontId="0" fillId="0" borderId="7" xfId="0" applyBorder="1" applyAlignment="1">
      <alignment horizontal="center"/>
    </xf>
    <xf numFmtId="0" fontId="1" fillId="0" borderId="23" xfId="0" applyFont="1" applyBorder="1" applyAlignment="1">
      <alignment horizontal="center" wrapText="1"/>
    </xf>
    <xf numFmtId="0" fontId="1" fillId="0" borderId="10" xfId="0" applyFont="1" applyBorder="1" applyAlignment="1">
      <alignment horizontal="center" wrapText="1"/>
    </xf>
    <xf numFmtId="0" fontId="0" fillId="0" borderId="21" xfId="0" applyBorder="1" applyAlignment="1">
      <alignment horizontal="center"/>
    </xf>
    <xf numFmtId="0" fontId="0" fillId="0" borderId="16" xfId="0" applyBorder="1" applyAlignment="1">
      <alignment horizontal="center"/>
    </xf>
    <xf numFmtId="0" fontId="0" fillId="0" borderId="0" xfId="0" applyAlignment="1">
      <alignment vertical="center"/>
    </xf>
    <xf numFmtId="1" fontId="0" fillId="0" borderId="26" xfId="0" applyNumberFormat="1" applyBorder="1" applyAlignment="1">
      <alignment horizontal="center" wrapText="1"/>
    </xf>
    <xf numFmtId="0" fontId="0" fillId="0" borderId="8" xfId="0" applyBorder="1" applyProtection="1">
      <protection locked="0"/>
    </xf>
    <xf numFmtId="0" fontId="0" fillId="0" borderId="3" xfId="0" applyBorder="1" applyProtection="1">
      <protection locked="0"/>
    </xf>
    <xf numFmtId="0" fontId="0" fillId="0" borderId="9" xfId="0" applyBorder="1" applyProtection="1">
      <protection locked="0"/>
    </xf>
    <xf numFmtId="165" fontId="0" fillId="0" borderId="1" xfId="0" applyNumberFormat="1" applyBorder="1" applyAlignment="1" applyProtection="1">
      <alignment wrapText="1"/>
      <protection locked="0"/>
    </xf>
    <xf numFmtId="165" fontId="0" fillId="0" borderId="3" xfId="0" applyNumberFormat="1" applyBorder="1" applyAlignment="1" applyProtection="1">
      <alignment wrapText="1"/>
      <protection locked="0"/>
    </xf>
    <xf numFmtId="0" fontId="0" fillId="0" borderId="4" xfId="0" applyBorder="1" applyAlignment="1" applyProtection="1">
      <alignment wrapText="1"/>
      <protection locked="0"/>
    </xf>
    <xf numFmtId="0" fontId="0" fillId="0" borderId="1" xfId="0" applyBorder="1" applyAlignment="1" applyProtection="1">
      <alignment wrapText="1"/>
      <protection locked="0"/>
    </xf>
    <xf numFmtId="0" fontId="0" fillId="0" borderId="5" xfId="0" applyBorder="1" applyProtection="1">
      <protection locked="0"/>
    </xf>
    <xf numFmtId="0" fontId="0" fillId="0" borderId="3" xfId="0" applyBorder="1" applyAlignment="1" applyProtection="1">
      <alignment wrapText="1"/>
      <protection locked="0"/>
    </xf>
    <xf numFmtId="0" fontId="0" fillId="0" borderId="8" xfId="0" applyBorder="1" applyAlignment="1" applyProtection="1">
      <alignment wrapText="1"/>
      <protection locked="0"/>
    </xf>
    <xf numFmtId="164" fontId="0" fillId="0" borderId="1" xfId="0" applyNumberFormat="1" applyBorder="1" applyAlignment="1" applyProtection="1">
      <alignment wrapText="1"/>
      <protection locked="0"/>
    </xf>
    <xf numFmtId="1" fontId="0" fillId="0" borderId="1" xfId="0" applyNumberFormat="1" applyBorder="1" applyAlignment="1" applyProtection="1">
      <alignment wrapText="1"/>
      <protection locked="0"/>
    </xf>
    <xf numFmtId="0" fontId="0" fillId="0" borderId="5" xfId="0" applyBorder="1" applyAlignment="1" applyProtection="1">
      <alignment wrapText="1"/>
      <protection locked="0"/>
    </xf>
    <xf numFmtId="164" fontId="0" fillId="0" borderId="3" xfId="0" applyNumberFormat="1" applyBorder="1" applyAlignment="1" applyProtection="1">
      <alignment wrapText="1"/>
      <protection locked="0"/>
    </xf>
    <xf numFmtId="1" fontId="0" fillId="0" borderId="3" xfId="0" applyNumberFormat="1" applyBorder="1" applyAlignment="1" applyProtection="1">
      <alignment wrapText="1"/>
      <protection locked="0"/>
    </xf>
    <xf numFmtId="0" fontId="0" fillId="0" borderId="9" xfId="0" applyBorder="1" applyAlignment="1" applyProtection="1">
      <alignment wrapText="1"/>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20"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2" xfId="0" applyBorder="1" applyAlignment="1" applyProtection="1">
      <alignment horizontal="center"/>
      <protection locked="0"/>
    </xf>
    <xf numFmtId="0" fontId="0" fillId="0" borderId="2" xfId="0" applyBorder="1" applyProtection="1">
      <protection locked="0"/>
    </xf>
    <xf numFmtId="0" fontId="0" fillId="0" borderId="7" xfId="0" applyBorder="1" applyAlignment="1" applyProtection="1">
      <alignment wrapText="1"/>
      <protection locked="0"/>
    </xf>
    <xf numFmtId="0" fontId="0" fillId="0" borderId="2"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3" xfId="0" applyBorder="1" applyAlignment="1" applyProtection="1">
      <alignment horizontal="center"/>
      <protection locked="0"/>
    </xf>
    <xf numFmtId="0" fontId="0" fillId="0" borderId="27" xfId="0" applyBorder="1" applyAlignment="1" applyProtection="1">
      <alignment horizontal="center" wrapText="1"/>
      <protection locked="0"/>
    </xf>
    <xf numFmtId="0" fontId="0" fillId="0" borderId="28" xfId="0" applyBorder="1" applyAlignment="1" applyProtection="1">
      <alignment horizontal="center" wrapText="1"/>
      <protection locked="0"/>
    </xf>
    <xf numFmtId="0" fontId="0" fillId="0" borderId="15" xfId="0" applyBorder="1" applyAlignment="1" applyProtection="1">
      <alignment horizontal="center"/>
      <protection locked="0"/>
    </xf>
    <xf numFmtId="0" fontId="0" fillId="0" borderId="18" xfId="0" applyBorder="1" applyAlignment="1" applyProtection="1">
      <alignment wrapText="1"/>
      <protection locked="0"/>
    </xf>
    <xf numFmtId="0" fontId="0" fillId="0" borderId="2" xfId="0" applyBorder="1" applyAlignment="1" applyProtection="1">
      <alignment wrapText="1"/>
      <protection locked="0"/>
    </xf>
    <xf numFmtId="0" fontId="0" fillId="0" borderId="15" xfId="0" applyBorder="1" applyAlignment="1" applyProtection="1">
      <alignment wrapText="1"/>
      <protection locked="0"/>
    </xf>
    <xf numFmtId="0" fontId="0" fillId="0" borderId="28" xfId="0" applyBorder="1" applyAlignment="1" applyProtection="1">
      <alignment wrapText="1"/>
      <protection locked="0"/>
    </xf>
    <xf numFmtId="0" fontId="0" fillId="0" borderId="15" xfId="0" applyBorder="1" applyProtection="1">
      <protection locked="0"/>
    </xf>
    <xf numFmtId="0" fontId="1" fillId="0" borderId="1" xfId="0" applyFont="1" applyBorder="1" applyAlignment="1">
      <alignment horizontal="center"/>
    </xf>
    <xf numFmtId="0" fontId="4" fillId="5" borderId="1" xfId="0" applyFont="1" applyFill="1" applyBorder="1" applyAlignment="1">
      <alignment wrapText="1"/>
    </xf>
    <xf numFmtId="0" fontId="4" fillId="0" borderId="1" xfId="0" applyFont="1" applyBorder="1" applyAlignment="1">
      <alignment wrapText="1"/>
    </xf>
    <xf numFmtId="0" fontId="4" fillId="5" borderId="3" xfId="0" applyFont="1" applyFill="1" applyBorder="1" applyAlignment="1">
      <alignment wrapText="1"/>
    </xf>
    <xf numFmtId="0" fontId="4" fillId="5" borderId="2" xfId="0" applyFont="1" applyFill="1" applyBorder="1" applyAlignment="1">
      <alignment wrapText="1"/>
    </xf>
    <xf numFmtId="0" fontId="4" fillId="5" borderId="2"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wrapText="1"/>
    </xf>
    <xf numFmtId="0" fontId="0" fillId="0" borderId="4" xfId="0" applyBorder="1" applyAlignment="1">
      <alignment wrapText="1"/>
    </xf>
    <xf numFmtId="0" fontId="0" fillId="0" borderId="8" xfId="0" applyBorder="1" applyAlignment="1">
      <alignment wrapText="1"/>
    </xf>
    <xf numFmtId="0" fontId="20" fillId="0" borderId="4" xfId="0" applyFont="1" applyBorder="1" applyAlignment="1" applyProtection="1">
      <alignment wrapText="1"/>
      <protection locked="0"/>
    </xf>
    <xf numFmtId="0" fontId="6" fillId="0" borderId="32" xfId="0" applyFont="1" applyBorder="1" applyAlignment="1">
      <alignment horizontal="left" vertical="top" wrapText="1"/>
    </xf>
    <xf numFmtId="0" fontId="4" fillId="0" borderId="1" xfId="0" applyFont="1" applyBorder="1" applyAlignment="1">
      <alignment horizontal="left" vertical="top" wrapText="1"/>
    </xf>
    <xf numFmtId="0" fontId="19" fillId="8" borderId="29" xfId="0" applyFont="1" applyFill="1" applyBorder="1" applyAlignment="1">
      <alignment horizontal="center" vertical="center" wrapText="1"/>
    </xf>
    <xf numFmtId="0" fontId="21" fillId="9" borderId="29" xfId="0" applyFont="1" applyFill="1" applyBorder="1" applyAlignment="1">
      <alignment horizontal="center" vertical="center" wrapText="1"/>
    </xf>
    <xf numFmtId="0" fontId="19" fillId="0" borderId="29" xfId="0" applyFont="1" applyBorder="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center" vertical="center" wrapText="1"/>
    </xf>
    <xf numFmtId="0" fontId="23" fillId="0" borderId="0" xfId="0" applyFont="1" applyAlignment="1">
      <alignment wrapText="1"/>
    </xf>
    <xf numFmtId="0" fontId="22" fillId="0" borderId="0" xfId="0" applyFont="1" applyAlignment="1">
      <alignment horizontal="center" vertical="center" wrapText="1"/>
    </xf>
    <xf numFmtId="0" fontId="10" fillId="8" borderId="1" xfId="0" applyFont="1" applyFill="1" applyBorder="1" applyAlignment="1">
      <alignment vertical="top" wrapText="1"/>
    </xf>
    <xf numFmtId="0" fontId="21" fillId="12" borderId="1" xfId="0" applyFont="1" applyFill="1" applyBorder="1" applyAlignment="1">
      <alignment horizontal="center" vertical="center" wrapText="1"/>
    </xf>
    <xf numFmtId="0" fontId="4" fillId="5" borderId="1" xfId="0" applyFont="1" applyFill="1" applyBorder="1" applyAlignment="1">
      <alignment horizontal="left" vertical="top" wrapText="1"/>
    </xf>
    <xf numFmtId="0" fontId="19" fillId="0" borderId="55" xfId="0" applyFont="1" applyBorder="1" applyAlignment="1">
      <alignment horizontal="center" vertical="center" wrapText="1"/>
    </xf>
    <xf numFmtId="0" fontId="10" fillId="8" borderId="3" xfId="0" applyFont="1" applyFill="1" applyBorder="1" applyAlignment="1">
      <alignment vertical="top" wrapText="1"/>
    </xf>
    <xf numFmtId="0" fontId="21" fillId="12" borderId="3" xfId="0" applyFont="1" applyFill="1" applyBorder="1" applyAlignment="1">
      <alignment horizontal="center" vertical="center" wrapText="1"/>
    </xf>
    <xf numFmtId="0" fontId="4" fillId="5" borderId="3" xfId="0" applyFont="1" applyFill="1" applyBorder="1" applyAlignment="1">
      <alignment horizontal="left" vertical="top" wrapText="1"/>
    </xf>
    <xf numFmtId="0" fontId="19" fillId="0" borderId="58" xfId="0" applyFont="1" applyBorder="1" applyAlignment="1">
      <alignment horizontal="center" vertical="center" wrapText="1"/>
    </xf>
    <xf numFmtId="0" fontId="5" fillId="4" borderId="0" xfId="0" applyFont="1" applyFill="1" applyAlignment="1">
      <alignment horizontal="center" wrapText="1"/>
    </xf>
    <xf numFmtId="0" fontId="5" fillId="4" borderId="30" xfId="0" applyFont="1" applyFill="1" applyBorder="1" applyAlignment="1">
      <alignment horizontal="center" wrapText="1"/>
    </xf>
    <xf numFmtId="0" fontId="10" fillId="8" borderId="2" xfId="0" applyFont="1" applyFill="1" applyBorder="1" applyAlignment="1">
      <alignment vertical="top" wrapText="1"/>
    </xf>
    <xf numFmtId="0" fontId="21" fillId="12" borderId="2" xfId="0" applyFont="1" applyFill="1" applyBorder="1" applyAlignment="1">
      <alignment horizontal="center" vertical="center" wrapText="1"/>
    </xf>
    <xf numFmtId="0" fontId="19" fillId="14" borderId="61" xfId="0" applyFont="1" applyFill="1" applyBorder="1" applyAlignment="1">
      <alignment horizontal="center" vertical="center" wrapText="1"/>
    </xf>
    <xf numFmtId="0" fontId="21" fillId="16" borderId="1" xfId="0" applyFont="1" applyFill="1" applyBorder="1" applyAlignment="1">
      <alignment horizontal="center" vertical="center" wrapText="1"/>
    </xf>
    <xf numFmtId="0" fontId="25" fillId="13" borderId="60" xfId="0" applyFont="1" applyFill="1" applyBorder="1" applyAlignment="1">
      <alignment vertical="center" wrapText="1"/>
    </xf>
    <xf numFmtId="0" fontId="25" fillId="13" borderId="67" xfId="0" applyFont="1" applyFill="1" applyBorder="1" applyAlignment="1">
      <alignment vertical="center" wrapText="1"/>
    </xf>
    <xf numFmtId="0" fontId="25" fillId="13" borderId="68" xfId="0" applyFont="1" applyFill="1" applyBorder="1" applyAlignment="1">
      <alignment horizontal="center" vertical="center" wrapText="1"/>
    </xf>
    <xf numFmtId="0" fontId="25" fillId="13" borderId="69" xfId="0" applyFont="1" applyFill="1" applyBorder="1" applyAlignment="1">
      <alignment horizontal="center" vertical="center" wrapText="1"/>
    </xf>
    <xf numFmtId="0" fontId="25" fillId="13" borderId="70" xfId="0" applyFont="1" applyFill="1" applyBorder="1" applyAlignment="1">
      <alignment horizontal="center" vertical="center" wrapText="1"/>
    </xf>
    <xf numFmtId="0" fontId="25" fillId="13" borderId="71" xfId="0" applyFont="1" applyFill="1" applyBorder="1" applyAlignment="1">
      <alignment horizontal="center" vertical="center" wrapText="1"/>
    </xf>
    <xf numFmtId="0" fontId="25" fillId="13" borderId="72" xfId="0" applyFont="1" applyFill="1" applyBorder="1" applyAlignment="1">
      <alignment horizontal="center" vertical="center" wrapText="1"/>
    </xf>
    <xf numFmtId="0" fontId="25" fillId="13" borderId="59" xfId="0" applyFont="1" applyFill="1" applyBorder="1" applyAlignment="1">
      <alignment vertical="center" wrapText="1"/>
    </xf>
    <xf numFmtId="0" fontId="19" fillId="0" borderId="73"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75" xfId="0" applyFont="1" applyBorder="1" applyAlignment="1">
      <alignment horizontal="center" vertical="center" wrapText="1"/>
    </xf>
    <xf numFmtId="0" fontId="19" fillId="0" borderId="76" xfId="0" applyFont="1" applyBorder="1" applyAlignment="1">
      <alignment horizontal="center" vertical="center" wrapText="1"/>
    </xf>
    <xf numFmtId="0" fontId="25" fillId="13" borderId="53" xfId="0" applyFont="1" applyFill="1" applyBorder="1" applyAlignment="1">
      <alignment vertical="center" wrapText="1"/>
    </xf>
    <xf numFmtId="0" fontId="19" fillId="14" borderId="77" xfId="0" applyFont="1" applyFill="1" applyBorder="1" applyAlignment="1">
      <alignment horizontal="center" vertical="center" wrapText="1"/>
    </xf>
    <xf numFmtId="0" fontId="19" fillId="14" borderId="54" xfId="0" applyFont="1" applyFill="1" applyBorder="1" applyAlignment="1">
      <alignment horizontal="center" vertical="center" wrapText="1"/>
    </xf>
    <xf numFmtId="0" fontId="19" fillId="14" borderId="53" xfId="0" applyFont="1" applyFill="1" applyBorder="1" applyAlignment="1">
      <alignment horizontal="center" vertical="center" wrapText="1"/>
    </xf>
    <xf numFmtId="0" fontId="19" fillId="0" borderId="77"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79" xfId="0" applyFont="1" applyBorder="1" applyAlignment="1">
      <alignment horizontal="center" vertical="center" wrapText="1"/>
    </xf>
    <xf numFmtId="0" fontId="21" fillId="15" borderId="2" xfId="0" applyFont="1" applyFill="1" applyBorder="1" applyAlignment="1">
      <alignment horizontal="center" vertical="center" wrapText="1"/>
    </xf>
    <xf numFmtId="0" fontId="25" fillId="13" borderId="56" xfId="0" applyFont="1" applyFill="1" applyBorder="1" applyAlignment="1">
      <alignment vertical="center" wrapText="1"/>
    </xf>
    <xf numFmtId="0" fontId="19" fillId="0" borderId="80"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82" xfId="0" applyFont="1" applyBorder="1" applyAlignment="1">
      <alignment horizontal="center" vertical="center" wrapText="1"/>
    </xf>
    <xf numFmtId="0" fontId="25" fillId="0" borderId="0" xfId="0" applyFont="1" applyAlignment="1">
      <alignment vertical="center" wrapText="1"/>
    </xf>
    <xf numFmtId="0" fontId="25" fillId="13" borderId="83" xfId="0" applyFont="1" applyFill="1" applyBorder="1" applyAlignment="1">
      <alignment vertical="center" wrapText="1"/>
    </xf>
    <xf numFmtId="0" fontId="25" fillId="13" borderId="84" xfId="0" applyFont="1" applyFill="1" applyBorder="1" applyAlignment="1">
      <alignment horizontal="center" vertical="center" wrapText="1"/>
    </xf>
    <xf numFmtId="0" fontId="25" fillId="13" borderId="85" xfId="0" applyFont="1" applyFill="1" applyBorder="1" applyAlignment="1">
      <alignment horizontal="center" vertical="center" wrapText="1"/>
    </xf>
    <xf numFmtId="0" fontId="25" fillId="13" borderId="86" xfId="0" applyFont="1" applyFill="1" applyBorder="1" applyAlignment="1">
      <alignment horizontal="center" vertical="center" wrapText="1"/>
    </xf>
    <xf numFmtId="0" fontId="25" fillId="13" borderId="51" xfId="0" applyFont="1" applyFill="1" applyBorder="1" applyAlignment="1">
      <alignment vertical="center" wrapText="1"/>
    </xf>
    <xf numFmtId="0" fontId="19" fillId="0" borderId="87" xfId="0" applyFont="1" applyBorder="1" applyAlignment="1">
      <alignment horizontal="center" vertical="center" wrapText="1"/>
    </xf>
    <xf numFmtId="0" fontId="25" fillId="13" borderId="61" xfId="0" applyFont="1" applyFill="1" applyBorder="1" applyAlignment="1">
      <alignment vertical="center" wrapText="1"/>
    </xf>
    <xf numFmtId="0" fontId="19" fillId="14" borderId="78" xfId="0" applyFont="1" applyFill="1" applyBorder="1" applyAlignment="1">
      <alignment horizontal="center" vertical="center" wrapText="1"/>
    </xf>
    <xf numFmtId="0" fontId="19" fillId="14" borderId="55" xfId="0" applyFont="1" applyFill="1" applyBorder="1" applyAlignment="1">
      <alignment horizontal="center" vertical="center" wrapText="1"/>
    </xf>
    <xf numFmtId="0" fontId="19" fillId="0" borderId="57" xfId="0" applyFont="1" applyBorder="1" applyAlignment="1">
      <alignment horizontal="center" vertical="center" wrapText="1"/>
    </xf>
    <xf numFmtId="0" fontId="25" fillId="13" borderId="83" xfId="0" applyFont="1" applyFill="1" applyBorder="1" applyAlignment="1">
      <alignment horizontal="center" vertical="center" wrapText="1"/>
    </xf>
    <xf numFmtId="0" fontId="25" fillId="13" borderId="90" xfId="0" applyFont="1" applyFill="1" applyBorder="1" applyAlignment="1">
      <alignment vertical="center" wrapText="1"/>
    </xf>
    <xf numFmtId="0" fontId="25" fillId="11" borderId="61" xfId="0" applyFont="1" applyFill="1" applyBorder="1" applyAlignment="1">
      <alignment vertical="center" wrapText="1"/>
    </xf>
    <xf numFmtId="0" fontId="4" fillId="19" borderId="0" xfId="0" applyFont="1" applyFill="1" applyAlignment="1">
      <alignment wrapText="1"/>
    </xf>
    <xf numFmtId="0" fontId="21" fillId="15" borderId="12" xfId="0" applyFont="1" applyFill="1" applyBorder="1" applyAlignment="1">
      <alignment horizontal="center" vertical="center" wrapText="1"/>
    </xf>
    <xf numFmtId="0" fontId="4" fillId="5" borderId="5" xfId="0" applyFont="1" applyFill="1" applyBorder="1" applyAlignment="1">
      <alignment wrapText="1"/>
    </xf>
    <xf numFmtId="0" fontId="4" fillId="0" borderId="5" xfId="0" applyFont="1" applyBorder="1" applyAlignment="1">
      <alignment wrapText="1"/>
    </xf>
    <xf numFmtId="0" fontId="21" fillId="15" borderId="1" xfId="0" applyFont="1" applyFill="1" applyBorder="1" applyAlignment="1">
      <alignment horizontal="center" vertical="center" wrapText="1"/>
    </xf>
    <xf numFmtId="0" fontId="25" fillId="13" borderId="66" xfId="0" applyFont="1" applyFill="1" applyBorder="1" applyAlignment="1">
      <alignment vertical="center" wrapText="1"/>
    </xf>
    <xf numFmtId="0" fontId="25" fillId="13" borderId="89" xfId="0" applyFont="1" applyFill="1" applyBorder="1" applyAlignment="1">
      <alignment vertical="center" wrapText="1"/>
    </xf>
    <xf numFmtId="0" fontId="4" fillId="5" borderId="9" xfId="0" applyFont="1" applyFill="1" applyBorder="1" applyAlignment="1">
      <alignment wrapText="1"/>
    </xf>
    <xf numFmtId="0" fontId="21" fillId="17" borderId="2" xfId="0" applyFont="1" applyFill="1" applyBorder="1" applyAlignment="1">
      <alignment horizontal="center" vertical="center" wrapText="1"/>
    </xf>
    <xf numFmtId="0" fontId="25" fillId="13" borderId="94" xfId="0" applyFont="1" applyFill="1" applyBorder="1" applyAlignment="1">
      <alignment vertical="center" wrapText="1"/>
    </xf>
    <xf numFmtId="0" fontId="19" fillId="21" borderId="77" xfId="0" applyFont="1" applyFill="1" applyBorder="1" applyAlignment="1">
      <alignment horizontal="center" vertical="center" wrapText="1"/>
    </xf>
    <xf numFmtId="0" fontId="19" fillId="21" borderId="54" xfId="0" applyFont="1" applyFill="1" applyBorder="1" applyAlignment="1">
      <alignment horizontal="center" vertical="center" wrapText="1"/>
    </xf>
    <xf numFmtId="0" fontId="19" fillId="21" borderId="53" xfId="0" applyFont="1" applyFill="1" applyBorder="1" applyAlignment="1">
      <alignment horizontal="center" vertical="center" wrapText="1"/>
    </xf>
    <xf numFmtId="0" fontId="19" fillId="21" borderId="61" xfId="0" applyFont="1" applyFill="1" applyBorder="1" applyAlignment="1">
      <alignment horizontal="center" vertical="center" wrapText="1"/>
    </xf>
    <xf numFmtId="0" fontId="19" fillId="21" borderId="80" xfId="0" applyFont="1" applyFill="1" applyBorder="1" applyAlignment="1">
      <alignment horizontal="center" vertical="center" wrapText="1"/>
    </xf>
    <xf numFmtId="0" fontId="19" fillId="21" borderId="57"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9" fillId="21" borderId="67" xfId="0" applyFont="1" applyFill="1" applyBorder="1" applyAlignment="1">
      <alignment horizontal="center" vertical="center" wrapText="1"/>
    </xf>
    <xf numFmtId="0" fontId="25" fillId="11" borderId="83" xfId="0" applyFont="1" applyFill="1" applyBorder="1" applyAlignment="1">
      <alignment horizontal="center" vertical="center" wrapText="1"/>
    </xf>
    <xf numFmtId="0" fontId="19" fillId="14" borderId="73" xfId="0" applyFont="1" applyFill="1" applyBorder="1" applyAlignment="1">
      <alignment horizontal="center" vertical="center" wrapText="1"/>
    </xf>
    <xf numFmtId="0" fontId="19" fillId="14" borderId="87" xfId="0" applyFont="1" applyFill="1" applyBorder="1" applyAlignment="1">
      <alignment horizontal="center" vertical="center" wrapText="1"/>
    </xf>
    <xf numFmtId="0" fontId="19" fillId="14" borderId="51" xfId="0" applyFont="1" applyFill="1" applyBorder="1" applyAlignment="1">
      <alignment horizontal="center" vertical="center" wrapText="1"/>
    </xf>
    <xf numFmtId="0" fontId="19" fillId="14" borderId="80" xfId="0" applyFont="1" applyFill="1" applyBorder="1" applyAlignment="1">
      <alignment horizontal="center" vertical="center" wrapText="1"/>
    </xf>
    <xf numFmtId="0" fontId="19" fillId="14" borderId="57" xfId="0" applyFont="1" applyFill="1" applyBorder="1" applyAlignment="1">
      <alignment horizontal="center" vertical="center" wrapText="1"/>
    </xf>
    <xf numFmtId="0" fontId="19" fillId="14" borderId="67" xfId="0" applyFont="1" applyFill="1" applyBorder="1" applyAlignment="1">
      <alignment horizontal="center" vertical="center" wrapText="1"/>
    </xf>
    <xf numFmtId="0" fontId="21" fillId="18" borderId="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4" fillId="7" borderId="1" xfId="0" applyFont="1" applyFill="1" applyBorder="1" applyAlignment="1">
      <alignment wrapText="1"/>
    </xf>
    <xf numFmtId="0" fontId="4" fillId="7" borderId="5" xfId="0" applyFont="1" applyFill="1" applyBorder="1" applyAlignment="1">
      <alignment wrapText="1"/>
    </xf>
    <xf numFmtId="0" fontId="21" fillId="9" borderId="96"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4" fillId="7" borderId="3" xfId="0" applyFont="1" applyFill="1" applyBorder="1" applyAlignment="1">
      <alignment wrapText="1"/>
    </xf>
    <xf numFmtId="0" fontId="4" fillId="7" borderId="9" xfId="0" applyFont="1" applyFill="1" applyBorder="1" applyAlignment="1">
      <alignment wrapText="1"/>
    </xf>
    <xf numFmtId="0" fontId="21" fillId="12" borderId="96" xfId="0" applyFont="1" applyFill="1" applyBorder="1" applyAlignment="1">
      <alignment horizontal="center" vertical="center" wrapText="1"/>
    </xf>
    <xf numFmtId="0" fontId="21" fillId="17" borderId="96" xfId="0" applyFont="1" applyFill="1" applyBorder="1" applyAlignment="1">
      <alignment horizontal="center" vertical="center" wrapText="1"/>
    </xf>
    <xf numFmtId="0" fontId="4" fillId="0" borderId="43" xfId="0" applyFont="1" applyBorder="1" applyAlignment="1">
      <alignment wrapText="1"/>
    </xf>
    <xf numFmtId="0" fontId="4" fillId="0" borderId="44" xfId="0" applyFont="1" applyBorder="1" applyAlignment="1">
      <alignment wrapText="1"/>
    </xf>
    <xf numFmtId="0" fontId="4" fillId="7" borderId="45" xfId="0" applyFont="1" applyFill="1" applyBorder="1" applyAlignment="1">
      <alignment wrapText="1"/>
    </xf>
    <xf numFmtId="0" fontId="4" fillId="7" borderId="46" xfId="0" applyFont="1" applyFill="1" applyBorder="1" applyAlignment="1">
      <alignment wrapText="1"/>
    </xf>
    <xf numFmtId="0" fontId="4" fillId="0" borderId="2" xfId="0" applyFont="1" applyBorder="1" applyAlignment="1">
      <alignment wrapText="1"/>
    </xf>
    <xf numFmtId="0" fontId="21" fillId="17" borderId="12" xfId="0" applyFont="1" applyFill="1" applyBorder="1" applyAlignment="1">
      <alignment horizontal="center" vertical="center" wrapText="1"/>
    </xf>
    <xf numFmtId="0" fontId="4" fillId="7" borderId="2" xfId="0" applyFont="1" applyFill="1" applyBorder="1" applyAlignment="1">
      <alignment wrapText="1"/>
    </xf>
    <xf numFmtId="0" fontId="21" fillId="15" borderId="96" xfId="0" applyFont="1" applyFill="1" applyBorder="1" applyAlignment="1">
      <alignment horizontal="center" vertical="center" wrapText="1"/>
    </xf>
    <xf numFmtId="0" fontId="10" fillId="8" borderId="0" xfId="0" applyFont="1" applyFill="1" applyAlignment="1">
      <alignment vertical="top" wrapText="1"/>
    </xf>
    <xf numFmtId="0" fontId="21" fillId="12" borderId="0" xfId="0" applyFont="1" applyFill="1" applyAlignment="1">
      <alignment horizontal="center" vertical="center" wrapText="1"/>
    </xf>
    <xf numFmtId="0" fontId="1" fillId="0" borderId="99" xfId="0" applyFont="1" applyBorder="1" applyAlignment="1">
      <alignment horizontal="center" wrapText="1"/>
    </xf>
    <xf numFmtId="0" fontId="1" fillId="11" borderId="19" xfId="0" applyFont="1" applyFill="1" applyBorder="1" applyAlignment="1">
      <alignment horizontal="center" wrapText="1"/>
    </xf>
    <xf numFmtId="0" fontId="1" fillId="11" borderId="12" xfId="0" applyFont="1" applyFill="1" applyBorder="1" applyAlignment="1">
      <alignment horizontal="center" wrapText="1"/>
    </xf>
    <xf numFmtId="0" fontId="0" fillId="11" borderId="12" xfId="0" applyFill="1" applyBorder="1" applyAlignment="1">
      <alignment horizontal="center" textRotation="90" wrapText="1"/>
    </xf>
    <xf numFmtId="0" fontId="0" fillId="11" borderId="17" xfId="0" applyFill="1" applyBorder="1" applyAlignment="1">
      <alignment horizontal="center" wrapText="1"/>
    </xf>
    <xf numFmtId="0" fontId="1" fillId="11" borderId="14" xfId="0" applyFont="1" applyFill="1" applyBorder="1" applyAlignment="1">
      <alignment horizontal="center" wrapText="1"/>
    </xf>
    <xf numFmtId="0" fontId="0" fillId="11" borderId="12" xfId="0" applyFill="1" applyBorder="1" applyAlignment="1">
      <alignment horizontal="center" textRotation="90"/>
    </xf>
    <xf numFmtId="0" fontId="1" fillId="23" borderId="5" xfId="0" applyFont="1" applyFill="1" applyBorder="1"/>
    <xf numFmtId="0" fontId="1" fillId="23" borderId="25" xfId="0" applyFont="1" applyFill="1" applyBorder="1" applyAlignment="1">
      <alignment horizontal="center" wrapText="1"/>
    </xf>
    <xf numFmtId="0" fontId="1" fillId="24" borderId="19" xfId="0" applyFont="1" applyFill="1" applyBorder="1" applyAlignment="1">
      <alignment horizontal="center" wrapText="1"/>
    </xf>
    <xf numFmtId="0" fontId="1" fillId="24" borderId="12" xfId="0" applyFont="1" applyFill="1" applyBorder="1" applyAlignment="1">
      <alignment horizontal="center" wrapText="1"/>
    </xf>
    <xf numFmtId="0" fontId="0" fillId="24" borderId="12" xfId="0" applyFill="1" applyBorder="1" applyAlignment="1">
      <alignment horizontal="center" textRotation="90" wrapText="1"/>
    </xf>
    <xf numFmtId="0" fontId="0" fillId="24" borderId="17" xfId="0" applyFill="1" applyBorder="1" applyAlignment="1">
      <alignment horizontal="center" wrapText="1"/>
    </xf>
    <xf numFmtId="0" fontId="1" fillId="24" borderId="14" xfId="0" applyFont="1" applyFill="1" applyBorder="1" applyAlignment="1">
      <alignment horizontal="center" wrapText="1"/>
    </xf>
    <xf numFmtId="0" fontId="0" fillId="24" borderId="12" xfId="0" applyFill="1" applyBorder="1" applyAlignment="1">
      <alignment horizontal="center" textRotation="90"/>
    </xf>
    <xf numFmtId="0" fontId="1" fillId="20" borderId="19" xfId="0" applyFont="1" applyFill="1" applyBorder="1" applyAlignment="1">
      <alignment horizontal="center" wrapText="1"/>
    </xf>
    <xf numFmtId="0" fontId="1" fillId="20" borderId="12" xfId="0" applyFont="1" applyFill="1" applyBorder="1" applyAlignment="1">
      <alignment horizontal="center" wrapText="1"/>
    </xf>
    <xf numFmtId="0" fontId="0" fillId="20" borderId="12" xfId="0" applyFill="1" applyBorder="1" applyAlignment="1">
      <alignment horizontal="center" textRotation="90" wrapText="1"/>
    </xf>
    <xf numFmtId="0" fontId="0" fillId="20" borderId="17" xfId="0" applyFill="1" applyBorder="1" applyAlignment="1">
      <alignment horizontal="center" wrapText="1"/>
    </xf>
    <xf numFmtId="0" fontId="1" fillId="20" borderId="14" xfId="0" applyFont="1" applyFill="1" applyBorder="1" applyAlignment="1">
      <alignment horizontal="center" wrapText="1"/>
    </xf>
    <xf numFmtId="0" fontId="0" fillId="20" borderId="12" xfId="0" applyFill="1" applyBorder="1" applyAlignment="1">
      <alignment horizontal="center" textRotation="90"/>
    </xf>
    <xf numFmtId="0" fontId="1" fillId="0" borderId="1" xfId="0" applyFont="1" applyBorder="1" applyAlignment="1">
      <alignment horizontal="center"/>
    </xf>
    <xf numFmtId="0" fontId="1" fillId="3" borderId="0" xfId="0" applyFont="1" applyFill="1" applyAlignment="1">
      <alignment horizontal="right"/>
    </xf>
    <xf numFmtId="0" fontId="1" fillId="0" borderId="11" xfId="0" applyFont="1" applyBorder="1" applyAlignment="1">
      <alignment horizontal="center"/>
    </xf>
    <xf numFmtId="0" fontId="1" fillId="0" borderId="13" xfId="0" applyFont="1" applyBorder="1" applyAlignment="1">
      <alignment horizontal="center" wrapText="1"/>
    </xf>
    <xf numFmtId="0" fontId="1" fillId="0" borderId="11" xfId="0" applyFont="1" applyBorder="1" applyAlignment="1">
      <alignment horizont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4" xfId="0" applyFont="1" applyBorder="1" applyAlignment="1">
      <alignment horizontal="center" wrapText="1"/>
    </xf>
    <xf numFmtId="0" fontId="29" fillId="20" borderId="3" xfId="0" applyFont="1" applyFill="1" applyBorder="1" applyAlignment="1">
      <alignment horizontal="left" vertical="top" wrapText="1"/>
    </xf>
    <xf numFmtId="0" fontId="29" fillId="20" borderId="34" xfId="0" applyFont="1" applyFill="1" applyBorder="1" applyAlignment="1">
      <alignment horizontal="left" vertical="top" wrapText="1"/>
    </xf>
    <xf numFmtId="0" fontId="29" fillId="20" borderId="2" xfId="0" applyFont="1" applyFill="1" applyBorder="1" applyAlignment="1">
      <alignment horizontal="left" vertical="top" wrapText="1"/>
    </xf>
    <xf numFmtId="0" fontId="10" fillId="22" borderId="3" xfId="0" applyFont="1" applyFill="1" applyBorder="1" applyAlignment="1">
      <alignment horizontal="left" vertical="top" wrapText="1"/>
    </xf>
    <xf numFmtId="0" fontId="10" fillId="22" borderId="34" xfId="0" applyFont="1" applyFill="1" applyBorder="1" applyAlignment="1">
      <alignment horizontal="left" vertical="top" wrapText="1"/>
    </xf>
    <xf numFmtId="0" fontId="10" fillId="22" borderId="2" xfId="0" applyFont="1" applyFill="1" applyBorder="1" applyAlignment="1">
      <alignment horizontal="left" vertical="top" wrapText="1"/>
    </xf>
    <xf numFmtId="0" fontId="10" fillId="8" borderId="3" xfId="0" applyFont="1" applyFill="1" applyBorder="1" applyAlignment="1">
      <alignment horizontal="left" vertical="top" wrapText="1"/>
    </xf>
    <xf numFmtId="0" fontId="10" fillId="8" borderId="34" xfId="0" applyFont="1" applyFill="1" applyBorder="1" applyAlignment="1">
      <alignment horizontal="left" vertical="top" wrapText="1"/>
    </xf>
    <xf numFmtId="0" fontId="10" fillId="8" borderId="1" xfId="0" applyFont="1" applyFill="1" applyBorder="1" applyAlignment="1">
      <alignment horizontal="left" vertical="top" wrapText="1"/>
    </xf>
    <xf numFmtId="0" fontId="6" fillId="0" borderId="32" xfId="0" applyFont="1" applyBorder="1" applyAlignment="1">
      <alignment horizontal="left" vertical="top" wrapText="1"/>
    </xf>
    <xf numFmtId="0" fontId="4" fillId="0" borderId="41"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10" fillId="8" borderId="2" xfId="0" applyFont="1" applyFill="1" applyBorder="1" applyAlignment="1">
      <alignment horizontal="left" vertical="top" wrapText="1"/>
    </xf>
    <xf numFmtId="0" fontId="4" fillId="0" borderId="1" xfId="0" applyFont="1" applyBorder="1" applyAlignment="1">
      <alignment horizontal="left" vertical="top" wrapText="1"/>
    </xf>
    <xf numFmtId="0" fontId="5" fillId="4" borderId="31" xfId="0" applyFont="1" applyFill="1" applyBorder="1" applyAlignment="1">
      <alignment horizontal="center" wrapText="1"/>
    </xf>
    <xf numFmtId="0" fontId="5" fillId="4" borderId="0" xfId="0" applyFont="1" applyFill="1" applyAlignment="1">
      <alignment horizontal="center" wrapText="1"/>
    </xf>
    <xf numFmtId="0" fontId="5" fillId="4" borderId="30" xfId="0" applyFont="1" applyFill="1" applyBorder="1" applyAlignment="1">
      <alignment horizontal="center" wrapText="1"/>
    </xf>
    <xf numFmtId="0" fontId="22" fillId="10" borderId="0" xfId="0" applyFont="1" applyFill="1" applyAlignment="1">
      <alignment horizontal="center" vertical="center" wrapText="1"/>
    </xf>
    <xf numFmtId="0" fontId="5" fillId="4" borderId="47" xfId="0" applyFont="1" applyFill="1" applyBorder="1" applyAlignment="1">
      <alignment horizontal="center" wrapText="1"/>
    </xf>
    <xf numFmtId="0" fontId="5" fillId="4" borderId="48" xfId="0" applyFont="1" applyFill="1" applyBorder="1" applyAlignment="1">
      <alignment horizontal="center" wrapText="1"/>
    </xf>
    <xf numFmtId="0" fontId="6" fillId="0" borderId="1" xfId="0" applyFont="1" applyBorder="1" applyAlignment="1">
      <alignment horizontal="left" vertical="top" wrapText="1"/>
    </xf>
    <xf numFmtId="0" fontId="5" fillId="11" borderId="49" xfId="0" applyFont="1" applyFill="1" applyBorder="1" applyAlignment="1">
      <alignment horizontal="center" vertical="center" wrapText="1"/>
    </xf>
    <xf numFmtId="0" fontId="5" fillId="11" borderId="52" xfId="0" applyFont="1" applyFill="1" applyBorder="1" applyAlignment="1">
      <alignment horizontal="center" vertical="center" wrapText="1"/>
    </xf>
    <xf numFmtId="0" fontId="5" fillId="11" borderId="62" xfId="0" applyFont="1" applyFill="1" applyBorder="1" applyAlignment="1">
      <alignment horizontal="center" vertical="center" wrapText="1"/>
    </xf>
    <xf numFmtId="0" fontId="24" fillId="11" borderId="50" xfId="0" applyFont="1" applyFill="1" applyBorder="1" applyAlignment="1">
      <alignment horizontal="center" vertical="center" wrapText="1"/>
    </xf>
    <xf numFmtId="0" fontId="24" fillId="11" borderId="51" xfId="0" applyFont="1" applyFill="1" applyBorder="1" applyAlignment="1">
      <alignment horizontal="center" vertical="center" wrapText="1"/>
    </xf>
    <xf numFmtId="0" fontId="25" fillId="13" borderId="53" xfId="0" applyFont="1" applyFill="1" applyBorder="1" applyAlignment="1">
      <alignment horizontal="left" vertical="center" wrapText="1"/>
    </xf>
    <xf numFmtId="0" fontId="25" fillId="13" borderId="54" xfId="0" applyFont="1" applyFill="1" applyBorder="1" applyAlignment="1">
      <alignment horizontal="left" vertical="center" wrapText="1"/>
    </xf>
    <xf numFmtId="0" fontId="25" fillId="13" borderId="56" xfId="0" applyFont="1" applyFill="1" applyBorder="1" applyAlignment="1">
      <alignment horizontal="left" vertical="center" wrapText="1"/>
    </xf>
    <xf numFmtId="0" fontId="25" fillId="13" borderId="57" xfId="0" applyFont="1" applyFill="1" applyBorder="1" applyAlignment="1">
      <alignment horizontal="left" vertical="center" wrapText="1"/>
    </xf>
    <xf numFmtId="0" fontId="5" fillId="4" borderId="16" xfId="0" applyFont="1" applyFill="1" applyBorder="1" applyAlignment="1">
      <alignment horizontal="center" wrapText="1"/>
    </xf>
    <xf numFmtId="0" fontId="24" fillId="11" borderId="59" xfId="0" applyFont="1" applyFill="1" applyBorder="1" applyAlignment="1">
      <alignment horizontal="center" vertical="center" wrapText="1"/>
    </xf>
    <xf numFmtId="0" fontId="24" fillId="11" borderId="60" xfId="0" applyFont="1" applyFill="1" applyBorder="1" applyAlignment="1">
      <alignment horizontal="center" vertical="center" wrapText="1"/>
    </xf>
    <xf numFmtId="0" fontId="6" fillId="0" borderId="16" xfId="0" applyFont="1" applyBorder="1" applyAlignment="1">
      <alignment vertical="top" wrapText="1"/>
    </xf>
    <xf numFmtId="0" fontId="6" fillId="0" borderId="0" xfId="0" applyFont="1" applyAlignment="1">
      <alignment vertical="top" wrapText="1"/>
    </xf>
    <xf numFmtId="0" fontId="5" fillId="4" borderId="1" xfId="0" applyFont="1" applyFill="1" applyBorder="1" applyAlignment="1">
      <alignment horizontal="center" wrapText="1"/>
    </xf>
    <xf numFmtId="0" fontId="24" fillId="15" borderId="63" xfId="0" applyFont="1" applyFill="1" applyBorder="1" applyAlignment="1">
      <alignment horizontal="center" vertical="center" wrapText="1"/>
    </xf>
    <xf numFmtId="0" fontId="24" fillId="15" borderId="64" xfId="0" applyFont="1" applyFill="1" applyBorder="1" applyAlignment="1">
      <alignment horizontal="center" vertical="center" wrapText="1"/>
    </xf>
    <xf numFmtId="0" fontId="24" fillId="15" borderId="65" xfId="0" applyFont="1" applyFill="1" applyBorder="1" applyAlignment="1">
      <alignment horizontal="center" vertical="center" wrapText="1"/>
    </xf>
    <xf numFmtId="0" fontId="5" fillId="15" borderId="49" xfId="0" applyFont="1" applyFill="1" applyBorder="1" applyAlignment="1">
      <alignment horizontal="center" vertical="center" wrapText="1"/>
    </xf>
    <xf numFmtId="0" fontId="5" fillId="15" borderId="52" xfId="0" applyFont="1" applyFill="1" applyBorder="1" applyAlignment="1">
      <alignment horizontal="center" vertical="center" wrapText="1"/>
    </xf>
    <xf numFmtId="0" fontId="5" fillId="15" borderId="62" xfId="0" applyFont="1" applyFill="1" applyBorder="1" applyAlignment="1">
      <alignment horizontal="center" vertical="center" wrapText="1"/>
    </xf>
    <xf numFmtId="0" fontId="25" fillId="13" borderId="66" xfId="0" applyFont="1" applyFill="1" applyBorder="1" applyAlignment="1">
      <alignment horizontal="center" vertical="center" wrapText="1"/>
    </xf>
    <xf numFmtId="0" fontId="25" fillId="13" borderId="50" xfId="0" applyFont="1" applyFill="1" applyBorder="1" applyAlignment="1">
      <alignment horizontal="center" vertical="center" wrapText="1"/>
    </xf>
    <xf numFmtId="0" fontId="25" fillId="13" borderId="51" xfId="0" applyFont="1" applyFill="1" applyBorder="1" applyAlignment="1">
      <alignment horizontal="center" vertical="center" wrapText="1"/>
    </xf>
    <xf numFmtId="0" fontId="7" fillId="6" borderId="1" xfId="0" applyFont="1" applyFill="1" applyBorder="1" applyAlignment="1">
      <alignment horizontal="center" wrapText="1"/>
    </xf>
    <xf numFmtId="0" fontId="4" fillId="0" borderId="33" xfId="0" applyFont="1" applyBorder="1" applyAlignment="1">
      <alignment horizontal="left" vertical="top" wrapText="1"/>
    </xf>
    <xf numFmtId="0" fontId="5" fillId="18" borderId="91" xfId="0" applyFont="1" applyFill="1" applyBorder="1" applyAlignment="1">
      <alignment horizontal="center" vertical="center" wrapText="1"/>
    </xf>
    <xf numFmtId="0" fontId="5" fillId="18" borderId="52" xfId="0" applyFont="1" applyFill="1" applyBorder="1" applyAlignment="1">
      <alignment horizontal="center" vertical="center" wrapText="1"/>
    </xf>
    <xf numFmtId="0" fontId="5" fillId="18" borderId="62" xfId="0" applyFont="1" applyFill="1" applyBorder="1" applyAlignment="1">
      <alignment horizontal="center" vertical="center" wrapText="1"/>
    </xf>
    <xf numFmtId="0" fontId="25" fillId="18" borderId="63" xfId="0" applyFont="1" applyFill="1" applyBorder="1" applyAlignment="1">
      <alignment horizontal="center" vertical="center" wrapText="1"/>
    </xf>
    <xf numFmtId="0" fontId="25" fillId="18" borderId="65"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24" fillId="15" borderId="63" xfId="0" applyFont="1" applyFill="1" applyBorder="1" applyAlignment="1">
      <alignment horizontal="center" vertical="top" wrapText="1"/>
    </xf>
    <xf numFmtId="0" fontId="24" fillId="15" borderId="64" xfId="0" applyFont="1" applyFill="1" applyBorder="1" applyAlignment="1">
      <alignment horizontal="center" vertical="top" wrapText="1"/>
    </xf>
    <xf numFmtId="0" fontId="24" fillId="15" borderId="65" xfId="0" applyFont="1" applyFill="1" applyBorder="1" applyAlignment="1">
      <alignment horizontal="center" vertical="top" wrapText="1"/>
    </xf>
    <xf numFmtId="0" fontId="24" fillId="17" borderId="63" xfId="0" applyFont="1" applyFill="1" applyBorder="1" applyAlignment="1">
      <alignment horizontal="center" vertical="center" wrapText="1"/>
    </xf>
    <xf numFmtId="0" fontId="24" fillId="17" borderId="64" xfId="0" applyFont="1" applyFill="1" applyBorder="1" applyAlignment="1">
      <alignment horizontal="center" vertical="center" wrapText="1"/>
    </xf>
    <xf numFmtId="0" fontId="24" fillId="17" borderId="65" xfId="0" applyFont="1" applyFill="1" applyBorder="1" applyAlignment="1">
      <alignment horizontal="center" vertical="center" wrapText="1"/>
    </xf>
    <xf numFmtId="0" fontId="5" fillId="17" borderId="49"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5" fillId="17" borderId="62" xfId="0" applyFont="1" applyFill="1" applyBorder="1" applyAlignment="1">
      <alignment horizontal="center" vertical="center" wrapText="1"/>
    </xf>
    <xf numFmtId="0" fontId="25" fillId="13" borderId="83" xfId="0" applyFont="1" applyFill="1" applyBorder="1" applyAlignment="1">
      <alignment horizontal="center" vertical="center" wrapText="1"/>
    </xf>
    <xf numFmtId="0" fontId="25" fillId="13" borderId="90" xfId="0" applyFont="1" applyFill="1" applyBorder="1" applyAlignment="1">
      <alignment horizontal="center" vertical="center" wrapText="1"/>
    </xf>
    <xf numFmtId="0" fontId="25" fillId="13" borderId="88" xfId="0" applyFont="1" applyFill="1" applyBorder="1" applyAlignment="1">
      <alignment horizontal="center" vertical="center" wrapText="1"/>
    </xf>
    <xf numFmtId="0" fontId="25" fillId="13" borderId="59" xfId="0" applyFont="1" applyFill="1" applyBorder="1" applyAlignment="1">
      <alignment horizontal="center" vertical="center" wrapText="1"/>
    </xf>
    <xf numFmtId="0" fontId="25" fillId="13" borderId="60" xfId="0" applyFont="1" applyFill="1" applyBorder="1" applyAlignment="1">
      <alignment horizontal="center" vertical="center" wrapText="1"/>
    </xf>
    <xf numFmtId="0" fontId="25" fillId="13" borderId="89" xfId="0" applyFont="1" applyFill="1" applyBorder="1" applyAlignment="1">
      <alignment horizontal="center" vertical="center" wrapText="1"/>
    </xf>
    <xf numFmtId="0" fontId="25" fillId="13" borderId="53" xfId="0" applyFont="1" applyFill="1" applyBorder="1" applyAlignment="1">
      <alignment horizontal="center" vertical="center" wrapText="1"/>
    </xf>
    <xf numFmtId="0" fontId="25" fillId="13" borderId="61" xfId="0" applyFont="1" applyFill="1" applyBorder="1" applyAlignment="1">
      <alignment horizontal="center" vertical="center" wrapText="1"/>
    </xf>
    <xf numFmtId="0" fontId="24" fillId="2" borderId="63" xfId="0" applyFont="1" applyFill="1" applyBorder="1" applyAlignment="1">
      <alignment horizontal="center" vertical="top" wrapText="1"/>
    </xf>
    <xf numFmtId="0" fontId="24" fillId="2" borderId="64" xfId="0" applyFont="1" applyFill="1" applyBorder="1" applyAlignment="1">
      <alignment horizontal="center" vertical="top" wrapText="1"/>
    </xf>
    <xf numFmtId="0" fontId="24" fillId="2" borderId="65" xfId="0" applyFont="1" applyFill="1" applyBorder="1" applyAlignment="1">
      <alignment horizontal="center" vertical="top" wrapText="1"/>
    </xf>
    <xf numFmtId="0" fontId="24" fillId="9" borderId="63" xfId="0" applyFont="1" applyFill="1" applyBorder="1" applyAlignment="1">
      <alignment horizontal="center" vertical="top" wrapText="1"/>
    </xf>
    <xf numFmtId="0" fontId="24" fillId="9" borderId="64" xfId="0" applyFont="1" applyFill="1" applyBorder="1" applyAlignment="1">
      <alignment horizontal="center" vertical="top" wrapText="1"/>
    </xf>
    <xf numFmtId="0" fontId="24" fillId="9" borderId="65" xfId="0" applyFont="1" applyFill="1" applyBorder="1" applyAlignment="1">
      <alignment horizontal="center" vertical="top" wrapText="1"/>
    </xf>
    <xf numFmtId="0" fontId="5" fillId="9" borderId="49" xfId="0" applyFont="1" applyFill="1" applyBorder="1" applyAlignment="1">
      <alignment horizontal="center" vertical="center" wrapText="1"/>
    </xf>
    <xf numFmtId="0" fontId="5" fillId="9" borderId="52" xfId="0" applyFont="1" applyFill="1" applyBorder="1" applyAlignment="1">
      <alignment horizontal="center" vertical="center" wrapText="1"/>
    </xf>
    <xf numFmtId="0" fontId="5" fillId="9" borderId="62" xfId="0" applyFont="1" applyFill="1" applyBorder="1" applyAlignment="1">
      <alignment horizontal="center" vertical="center" wrapText="1"/>
    </xf>
    <xf numFmtId="0" fontId="7" fillId="6" borderId="9" xfId="0" applyFont="1" applyFill="1" applyBorder="1" applyAlignment="1">
      <alignment horizontal="center" wrapText="1"/>
    </xf>
    <xf numFmtId="0" fontId="7" fillId="6" borderId="26" xfId="0" applyFont="1" applyFill="1" applyBorder="1" applyAlignment="1">
      <alignment horizontal="center" wrapText="1"/>
    </xf>
    <xf numFmtId="0" fontId="7" fillId="6" borderId="8" xfId="0" applyFont="1" applyFill="1" applyBorder="1" applyAlignment="1">
      <alignment horizontal="center"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24" fillId="9" borderId="63" xfId="0" applyFont="1" applyFill="1" applyBorder="1" applyAlignment="1">
      <alignment horizontal="center" vertical="center" wrapText="1"/>
    </xf>
    <xf numFmtId="0" fontId="24" fillId="9" borderId="64" xfId="0" applyFont="1" applyFill="1" applyBorder="1" applyAlignment="1">
      <alignment horizontal="center" vertical="center" wrapText="1"/>
    </xf>
    <xf numFmtId="0" fontId="24" fillId="9" borderId="65" xfId="0" applyFont="1" applyFill="1" applyBorder="1" applyAlignment="1">
      <alignment horizontal="center" vertical="center" wrapText="1"/>
    </xf>
    <xf numFmtId="0" fontId="5" fillId="9" borderId="92" xfId="0" applyFont="1" applyFill="1" applyBorder="1" applyAlignment="1">
      <alignment horizontal="center" vertical="center" wrapText="1"/>
    </xf>
    <xf numFmtId="0" fontId="5" fillId="9" borderId="93" xfId="0" applyFont="1" applyFill="1" applyBorder="1" applyAlignment="1">
      <alignment horizontal="center" vertical="center" wrapText="1"/>
    </xf>
    <xf numFmtId="0" fontId="19" fillId="13" borderId="83" xfId="0" applyFont="1" applyFill="1" applyBorder="1" applyAlignment="1">
      <alignment horizontal="center" vertical="center" wrapText="1"/>
    </xf>
    <xf numFmtId="0" fontId="4" fillId="0" borderId="38" xfId="0" applyFont="1" applyBorder="1" applyAlignment="1">
      <alignment horizontal="left" vertical="top" wrapText="1"/>
    </xf>
    <xf numFmtId="0" fontId="26" fillId="20" borderId="63" xfId="0" applyFont="1" applyFill="1" applyBorder="1" applyAlignment="1">
      <alignment horizontal="center" vertical="center" wrapText="1"/>
    </xf>
    <xf numFmtId="0" fontId="26" fillId="20" borderId="64" xfId="0" applyFont="1" applyFill="1" applyBorder="1" applyAlignment="1">
      <alignment horizontal="center" vertical="center" wrapText="1"/>
    </xf>
    <xf numFmtId="0" fontId="26" fillId="20" borderId="65" xfId="0" applyFont="1" applyFill="1" applyBorder="1" applyAlignment="1">
      <alignment horizontal="center" vertical="center" wrapText="1"/>
    </xf>
    <xf numFmtId="0" fontId="27" fillId="20" borderId="49" xfId="0" applyFont="1" applyFill="1" applyBorder="1" applyAlignment="1">
      <alignment horizontal="center" vertical="center" wrapText="1"/>
    </xf>
    <xf numFmtId="0" fontId="27" fillId="20" borderId="52" xfId="0" applyFont="1" applyFill="1" applyBorder="1" applyAlignment="1">
      <alignment horizontal="center" vertical="center" wrapText="1"/>
    </xf>
    <xf numFmtId="0" fontId="27" fillId="20" borderId="62" xfId="0" applyFont="1" applyFill="1" applyBorder="1" applyAlignment="1">
      <alignment horizontal="center" vertical="center" wrapText="1"/>
    </xf>
    <xf numFmtId="0" fontId="19" fillId="13" borderId="95" xfId="0" applyFont="1" applyFill="1" applyBorder="1" applyAlignment="1">
      <alignment horizontal="center" vertical="center" wrapText="1"/>
    </xf>
    <xf numFmtId="0" fontId="19" fillId="13" borderId="90" xfId="0" applyFont="1" applyFill="1" applyBorder="1" applyAlignment="1">
      <alignment horizontal="center" vertical="center" wrapText="1"/>
    </xf>
    <xf numFmtId="0" fontId="4" fillId="19" borderId="0" xfId="0" applyFont="1" applyFill="1" applyAlignment="1">
      <alignment horizontal="center" vertical="center" wrapText="1"/>
    </xf>
    <xf numFmtId="0" fontId="19" fillId="13" borderId="49" xfId="0" applyFont="1" applyFill="1" applyBorder="1" applyAlignment="1">
      <alignment horizontal="center" vertical="center" wrapText="1"/>
    </xf>
    <xf numFmtId="0" fontId="19" fillId="13" borderId="52" xfId="0" applyFont="1" applyFill="1" applyBorder="1" applyAlignment="1">
      <alignment horizontal="center" vertical="center" wrapText="1"/>
    </xf>
    <xf numFmtId="0" fontId="19" fillId="13" borderId="62" xfId="0" applyFont="1" applyFill="1" applyBorder="1" applyAlignment="1">
      <alignment horizontal="center" vertical="center" wrapText="1"/>
    </xf>
    <xf numFmtId="0" fontId="7" fillId="6" borderId="97" xfId="0" applyFont="1" applyFill="1" applyBorder="1" applyAlignment="1">
      <alignment horizontal="center" wrapText="1"/>
    </xf>
    <xf numFmtId="0" fontId="7" fillId="6" borderId="0" xfId="0" applyFont="1" applyFill="1" applyAlignment="1">
      <alignment horizontal="center" wrapText="1"/>
    </xf>
    <xf numFmtId="0" fontId="7" fillId="6" borderId="98" xfId="0" applyFont="1" applyFill="1" applyBorder="1" applyAlignment="1">
      <alignment horizontal="center" wrapText="1"/>
    </xf>
    <xf numFmtId="0" fontId="23" fillId="22" borderId="63" xfId="0" applyFont="1" applyFill="1" applyBorder="1" applyAlignment="1">
      <alignment horizontal="center" vertical="center" wrapText="1"/>
    </xf>
    <xf numFmtId="0" fontId="23" fillId="22" borderId="64" xfId="0" applyFont="1" applyFill="1" applyBorder="1" applyAlignment="1">
      <alignment horizontal="center" vertical="center" wrapText="1"/>
    </xf>
    <xf numFmtId="0" fontId="23" fillId="22" borderId="65" xfId="0" applyFont="1" applyFill="1" applyBorder="1" applyAlignment="1">
      <alignment horizontal="center" vertical="center" wrapText="1"/>
    </xf>
    <xf numFmtId="0" fontId="23" fillId="22" borderId="49" xfId="0" applyFont="1" applyFill="1" applyBorder="1" applyAlignment="1">
      <alignment horizontal="center" vertical="center" wrapText="1"/>
    </xf>
    <xf numFmtId="0" fontId="23" fillId="22" borderId="52" xfId="0" applyFont="1" applyFill="1" applyBorder="1" applyAlignment="1">
      <alignment horizontal="center" vertical="center" wrapText="1"/>
    </xf>
    <xf numFmtId="0" fontId="23" fillId="22" borderId="62" xfId="0" applyFont="1" applyFill="1" applyBorder="1" applyAlignment="1">
      <alignment horizontal="center" vertical="center" wrapText="1"/>
    </xf>
    <xf numFmtId="0" fontId="4" fillId="0" borderId="42" xfId="0" applyFont="1" applyBorder="1" applyAlignment="1">
      <alignment horizontal="left" vertical="top" wrapText="1"/>
    </xf>
    <xf numFmtId="0" fontId="7" fillId="6" borderId="3" xfId="0" applyFont="1" applyFill="1" applyBorder="1" applyAlignment="1">
      <alignment horizontal="center" wrapText="1"/>
    </xf>
    <xf numFmtId="0" fontId="7" fillId="6" borderId="2" xfId="0" applyFont="1" applyFill="1" applyBorder="1" applyAlignment="1">
      <alignment horizontal="center" wrapText="1"/>
    </xf>
  </cellXfs>
  <cellStyles count="1">
    <cellStyle name="Normal" xfId="0" builtinId="0"/>
  </cellStyles>
  <dxfs count="405">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left style="thick">
          <color theme="1"/>
        </left>
        <right style="thin">
          <color indexed="64"/>
        </right>
        <top style="thin">
          <color indexed="64"/>
        </top>
        <bottom style="thin">
          <color indexed="64"/>
        </bottom>
        <vertical/>
        <horizontal/>
      </border>
      <protection locked="0" hidden="0"/>
    </dxf>
    <dxf>
      <fill>
        <patternFill patternType="none">
          <fgColor indexed="64"/>
          <bgColor auto="1"/>
        </patternFill>
      </fill>
      <alignment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 formatCode="0"/>
      <fill>
        <patternFill patternType="none">
          <fgColor indexed="64"/>
          <bgColor indexed="65"/>
        </patternFill>
      </fill>
      <alignment horizontal="center" vertical="bottom" textRotation="0" wrapText="1" indent="0" justifyLastLine="0" shrinkToFit="0" readingOrder="0"/>
      <border diagonalUp="0" diagonalDown="0">
        <left/>
        <right/>
        <top style="thin">
          <color indexed="64"/>
        </top>
        <bottom style="thin">
          <color indexed="64"/>
        </bottom>
        <vertical/>
        <horizontal/>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rgb="FF000000"/>
          <bgColor auto="1"/>
        </patternFill>
      </fill>
    </dxf>
    <dxf>
      <border>
        <bottom style="thin">
          <color rgb="FF000000"/>
        </bottom>
      </border>
    </dxf>
    <dxf>
      <fill>
        <patternFill patternType="none">
          <fgColor indexed="64"/>
          <bgColor auto="1"/>
        </patternFill>
      </fill>
      <alignment horizontal="general" vertical="center" textRotation="9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ck">
          <color indexed="64"/>
        </left>
        <right style="thin">
          <color indexed="64"/>
        </right>
        <top style="thin">
          <color indexed="64"/>
        </top>
        <bottom style="thin">
          <color indexed="64"/>
        </bottom>
        <vertic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left style="thick">
          <color theme="1"/>
        </left>
        <right style="thin">
          <color indexed="64"/>
        </right>
        <top style="thin">
          <color indexed="64"/>
        </top>
        <bottom style="thin">
          <color indexed="64"/>
        </bottom>
        <vertical/>
        <horizontal/>
      </border>
      <protection locked="0" hidden="0"/>
    </dxf>
    <dxf>
      <fill>
        <patternFill patternType="none">
          <fgColor indexed="64"/>
          <bgColor auto="1"/>
        </patternFill>
      </fill>
      <alignment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 formatCode="0"/>
      <fill>
        <patternFill patternType="none">
          <fgColor indexed="64"/>
          <bgColor indexed="65"/>
        </patternFill>
      </fill>
      <alignment horizontal="center" vertical="bottom" textRotation="0" wrapText="1" indent="0" justifyLastLine="0" shrinkToFit="0" readingOrder="0"/>
      <border diagonalUp="0" diagonalDown="0">
        <left/>
        <right/>
        <top style="thin">
          <color indexed="64"/>
        </top>
        <bottom style="thin">
          <color indexed="64"/>
        </bottom>
      </border>
    </dxf>
    <dxf>
      <numFmt numFmtId="0" formatCode="General"/>
      <fill>
        <patternFill patternType="none">
          <fgColor indexed="64"/>
          <bgColor auto="1"/>
        </patternFill>
      </fill>
      <border diagonalUp="0" diagonalDown="0">
        <left style="thin">
          <color indexed="64"/>
        </left>
        <right/>
        <top style="thin">
          <color indexed="64"/>
        </top>
        <bottom style="thin">
          <color indexed="64"/>
        </bottom>
      </border>
    </dxf>
    <dxf>
      <fill>
        <patternFill patternType="none">
          <fgColor rgb="FF000000"/>
          <bgColor auto="1"/>
        </patternFill>
      </fill>
    </dxf>
    <dxf>
      <border>
        <bottom style="thin">
          <color rgb="FF000000"/>
        </bottom>
      </border>
    </dxf>
    <dxf>
      <fill>
        <patternFill patternType="none">
          <fgColor indexed="64"/>
          <bgColor auto="1"/>
        </patternFill>
      </fill>
      <alignment horizontal="general" vertical="center" textRotation="9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rgb="FF000000"/>
          <bgColor auto="1"/>
        </patternFill>
      </fill>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left style="thick">
          <color theme="1"/>
        </left>
        <right style="thin">
          <color indexed="64"/>
        </right>
        <top style="thin">
          <color indexed="64"/>
        </top>
        <bottom style="thin">
          <color indexed="64"/>
        </bottom>
        <vertical/>
        <horizontal/>
      </border>
      <protection locked="0" hidden="0"/>
    </dxf>
    <dxf>
      <fill>
        <patternFill patternType="none">
          <fgColor indexed="64"/>
          <bgColor auto="1"/>
        </patternFill>
      </fill>
      <alignment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 formatCode="0"/>
      <fill>
        <patternFill patternType="none">
          <fgColor indexed="64"/>
          <bgColor indexed="65"/>
        </patternFill>
      </fill>
      <alignment horizontal="center" vertical="bottom" textRotation="0" wrapText="1" indent="0" justifyLastLine="0" shrinkToFit="0" readingOrder="0"/>
      <border diagonalUp="0" diagonalDown="0">
        <left/>
        <right/>
        <top style="thin">
          <color indexed="64"/>
        </top>
        <bottom style="thin">
          <color indexed="64"/>
        </bottom>
        <vertical/>
        <horizontal/>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rgb="FF000000"/>
          <bgColor auto="1"/>
        </patternFill>
      </fill>
    </dxf>
    <dxf>
      <border>
        <bottom style="thin">
          <color rgb="FF000000"/>
        </bottom>
      </border>
    </dxf>
    <dxf>
      <fill>
        <patternFill patternType="none">
          <fgColor indexed="64"/>
          <bgColor auto="1"/>
        </patternFill>
      </fill>
      <alignment horizontal="general" vertical="center" textRotation="9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ck">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ck">
          <color indexed="64"/>
        </left>
        <right style="thin">
          <color indexed="64"/>
        </right>
        <top style="thin">
          <color indexed="64"/>
        </top>
        <bottom style="thin">
          <color indexed="64"/>
        </bottom>
        <vertical/>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ck">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ck">
          <color indexed="64"/>
        </left>
        <right style="thin">
          <color indexed="64"/>
        </right>
        <top style="thin">
          <color indexed="64"/>
        </top>
        <bottom style="thin">
          <color indexed="64"/>
        </bottom>
        <vertical/>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ck">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ck">
          <color indexed="64"/>
        </left>
        <right style="thin">
          <color indexed="64"/>
        </right>
        <top style="thin">
          <color indexed="64"/>
        </top>
        <bottom style="thin">
          <color indexed="64"/>
        </bottom>
        <vertic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alignment horizontal="center"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outline="0">
        <left style="thick">
          <color indexed="64"/>
        </left>
        <right style="thin">
          <color indexed="64"/>
        </right>
        <top style="thin">
          <color indexed="64"/>
        </top>
        <bottom/>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outline="0">
        <left style="thick">
          <color indexed="64"/>
        </left>
        <right style="thin">
          <color indexed="64"/>
        </right>
        <top style="thin">
          <color indexed="64"/>
        </top>
        <bottom/>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outline="0">
        <left style="thick">
          <color indexed="64"/>
        </left>
        <right style="thin">
          <color indexed="64"/>
        </right>
        <top style="thin">
          <color indexed="64"/>
        </top>
        <bottom/>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rgb="FF000000"/>
          <bgColor auto="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outline="0">
        <left style="thick">
          <color indexed="64"/>
        </left>
        <right style="thin">
          <color indexed="64"/>
        </right>
        <top style="thin">
          <color indexed="64"/>
        </top>
        <bottom/>
      </border>
      <protection locked="0" hidden="0"/>
    </dxf>
    <dxf>
      <fill>
        <patternFill patternType="none">
          <fgColor rgb="FF000000"/>
          <bgColor auto="1"/>
        </patternFill>
      </fill>
      <alignment horizontal="center"/>
      <border diagonalUp="0" diagonalDown="0">
        <left style="thick">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ck">
          <color theme="1"/>
        </left>
        <right style="thin">
          <color indexed="64"/>
        </right>
        <top style="thin">
          <color indexed="64"/>
        </top>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left style="thick">
          <color theme="1"/>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indexed="64"/>
          <bgColor auto="1"/>
        </patternFill>
      </fill>
      <alignment vertical="bottom"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none">
          <fgColor indexed="64"/>
          <bgColor auto="1"/>
        </patternFill>
      </fill>
      <alignment horizont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 formatCode="0"/>
      <alignment horizontal="center" vertical="bottom" textRotation="0" wrapText="1" indent="0" justifyLastLine="0" shrinkToFit="0" readingOrder="0"/>
      <border diagonalUp="0" diagonalDown="0" outline="0">
        <left/>
        <right/>
        <top style="thin">
          <color indexed="64"/>
        </top>
        <bottom/>
      </border>
    </dxf>
    <dxf>
      <numFmt numFmtId="1" formatCode="0"/>
      <alignment horizontal="center" vertical="bottom" textRotation="0" wrapText="1" indent="0" justifyLastLine="0" shrinkToFit="0" readingOrder="0"/>
      <border diagonalUp="0" diagonalDown="0">
        <left/>
        <right/>
        <top style="thin">
          <color indexed="64"/>
        </top>
        <bottom style="thin">
          <color indexed="64"/>
        </bottom>
        <vertical/>
        <horizontal/>
      </border>
    </dxf>
    <dxf>
      <numFmt numFmtId="1" formatCode="0"/>
      <alignment horizontal="center" vertical="bottom" textRotation="0" wrapText="1" indent="0" justifyLastLine="0" shrinkToFit="0" readingOrder="0"/>
      <border diagonalUp="0" diagonalDown="0" outline="0">
        <left/>
        <right/>
        <top style="thin">
          <color indexed="64"/>
        </top>
        <bottom/>
      </border>
    </dxf>
    <dxf>
      <numFmt numFmtId="1" formatCode="0"/>
      <alignment horizontal="center" vertical="bottom" textRotation="0" wrapText="1" indent="0" justifyLastLine="0" shrinkToFit="0" readingOrder="0"/>
      <border diagonalUp="0" diagonalDown="0">
        <left/>
        <right/>
        <top style="thin">
          <color indexed="64"/>
        </top>
        <bottom style="thin">
          <color indexed="64"/>
        </bottom>
        <vertical/>
        <horizontal/>
      </border>
    </dxf>
    <dxf>
      <numFmt numFmtId="1" formatCode="0"/>
      <alignment horizontal="center" vertical="bottom" textRotation="0" wrapText="1" indent="0" justifyLastLine="0" shrinkToFit="0" readingOrder="0"/>
      <border diagonalUp="0" diagonalDown="0" outline="0">
        <left/>
        <right/>
        <top style="thin">
          <color indexed="64"/>
        </top>
        <bottom/>
      </border>
    </dxf>
    <dxf>
      <numFmt numFmtId="1" formatCode="0"/>
      <alignment horizontal="center" vertical="bottom" textRotation="0" wrapText="1" indent="0" justifyLastLine="0" shrinkToFit="0" readingOrder="0"/>
      <border diagonalUp="0" diagonalDown="0">
        <left/>
        <right/>
        <top style="thin">
          <color indexed="64"/>
        </top>
        <bottom style="thin">
          <color indexed="64"/>
        </bottom>
        <vertical/>
        <horizontal/>
      </border>
    </dxf>
    <dxf>
      <numFmt numFmtId="1" formatCode="0"/>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numFmt numFmtId="1" formatCode="0"/>
      <fill>
        <patternFill patternType="none">
          <fgColor indexed="64"/>
          <bgColor indexed="65"/>
        </patternFill>
      </fill>
      <alignment horizontal="center" vertical="bottom" textRotation="0" wrapText="1" indent="0" justifyLastLine="0" shrinkToFit="0" readingOrder="0"/>
      <border diagonalUp="0" diagonalDown="0">
        <left/>
        <right/>
        <top style="thin">
          <color indexed="64"/>
        </top>
        <bottom style="thin">
          <color indexed="64"/>
        </bottom>
        <vertical/>
        <horizontal/>
      </border>
    </dxf>
    <dxf>
      <numFmt numFmtId="0" formatCode="General"/>
      <fill>
        <patternFill patternType="none">
          <fgColor indexed="64"/>
          <bgColor indexed="65"/>
        </patternFill>
      </fill>
      <border diagonalUp="0" diagonalDown="0" outline="0">
        <left style="thin">
          <color indexed="64"/>
        </left>
        <right/>
        <top style="thin">
          <color indexed="64"/>
        </top>
        <bottom/>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rgb="FF000000"/>
          <bgColor auto="1"/>
        </patternFill>
      </fill>
    </dxf>
    <dxf>
      <border>
        <bottom style="thin">
          <color rgb="FF000000"/>
        </bottom>
      </border>
    </dxf>
    <dxf>
      <fill>
        <patternFill patternType="none">
          <fgColor indexed="64"/>
          <bgColor auto="1"/>
        </patternFill>
      </fill>
      <alignment horizontal="general" vertical="center" textRotation="9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5" formatCode="m/d/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m/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A92F3FE-F352-4BC5-9858-0529385CC8AC}" name="Table7" displayName="Table7" ref="A2:B302" totalsRowShown="0" headerRowDxfId="404" dataDxfId="402" headerRowBorderDxfId="403" tableBorderDxfId="401" totalsRowBorderDxfId="400">
  <tableColumns count="2">
    <tableColumn id="1" xr3:uid="{F828D244-C9B4-41CA-8BEF-ADF1F05D26F0}" name="Last Name, First Name" dataDxfId="399"/>
    <tableColumn id="2" xr3:uid="{5BAE2FE9-9135-4C41-9DBD-2EBA9BC6C714}" name="BHWorks Screened" dataDxfId="398"/>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971C3A-3311-4C1E-8C81-2699A4B4A085}" name="Table1" displayName="Table1" ref="A2:J302" totalsRowShown="0" headerRowDxfId="397" dataDxfId="395" headerRowBorderDxfId="396" tableBorderDxfId="394" totalsRowBorderDxfId="393">
  <tableColumns count="10">
    <tableColumn id="1" xr3:uid="{7A8158C3-96FB-4406-A5A7-36BED3278DCD}" name="Last Name, First Name" dataDxfId="392">
      <calculatedColumnFormula>IF(Referral!B3="Yes", Referral!A3, IF(Referral!B3="No", "Screening Needed", ""))</calculatedColumnFormula>
    </tableColumn>
    <tableColumn id="3" xr3:uid="{879180D6-96BF-43EA-92CC-0E8A5649FCD9}" name="Date of Birth" dataDxfId="391"/>
    <tableColumn id="17" xr3:uid="{8099D0AE-879B-451D-B2DF-5BBF7D3DE1E6}" name="Age" dataDxfId="390"/>
    <tableColumn id="4" xr3:uid="{65B7A2E7-4886-4221-ACC9-145C12A4C6BF}" name="Grade" dataDxfId="389"/>
    <tableColumn id="5" xr3:uid="{41578772-1A9C-45B0-91B5-A47E632ED4AE}" name="Gender" dataDxfId="388"/>
    <tableColumn id="19" xr3:uid="{870FE953-6B99-4DCF-B936-08D733EB5B06}" name="Race" dataDxfId="387"/>
    <tableColumn id="21" xr3:uid="{3B871CFE-4FF5-475C-BFA9-9FE4C6EF75BE}" name="District/School" dataDxfId="386"/>
    <tableColumn id="22" xr3:uid="{3F22485A-C6F8-4650-917C-C7E2F353C01D}" name="Parent Meetings" dataDxfId="385"/>
    <tableColumn id="20" xr3:uid="{74415EC9-FEC3-40BC-9746-0BA31E77E2CF}" name="Consultations with School Staff" dataDxfId="384"/>
    <tableColumn id="2" xr3:uid="{838D8E80-BFE3-485F-BBF4-60BAF1CC2CF3}" name="Number of Student Meetings" dataDxfId="38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4EC2AB7-D02F-4952-AFAA-22D59D4BA2CF}" name="Table5" displayName="Table5" ref="A2:L3" totalsRowShown="0" headerRowDxfId="382" dataDxfId="380" headerRowBorderDxfId="381" tableBorderDxfId="379" totalsRowBorderDxfId="378">
  <tableColumns count="12">
    <tableColumn id="1" xr3:uid="{D3E339BC-B7A5-4721-B8AE-7D27CA74A5E1}" name="August" dataDxfId="377"/>
    <tableColumn id="2" xr3:uid="{A50EA3A1-C016-4EE3-9D94-594A304ED29A}" name="September" dataDxfId="376"/>
    <tableColumn id="3" xr3:uid="{D4B0236B-2F37-4BE4-BAD9-4869B674B962}" name="October" dataDxfId="375"/>
    <tableColumn id="4" xr3:uid="{095605FD-E680-4E67-AF5B-0F6F8BCE6D2B}" name="November" dataDxfId="374"/>
    <tableColumn id="5" xr3:uid="{0182BDFB-BCB7-4A25-A7F7-093966D26BCD}" name="December" dataDxfId="373"/>
    <tableColumn id="6" xr3:uid="{36ED79D8-D968-4DA8-B3C0-82119C4643DB}" name="January" dataDxfId="372"/>
    <tableColumn id="7" xr3:uid="{0A498C3E-74CC-410C-908D-AA0CA89DEE5C}" name="February" dataDxfId="371"/>
    <tableColumn id="8" xr3:uid="{DCA951DA-0518-43B3-B315-6059A7308C9D}" name="March" dataDxfId="370"/>
    <tableColumn id="9" xr3:uid="{F9A1DF1B-56AB-47E2-A7F8-5B0ADC28AE4A}" name="April" dataDxfId="369"/>
    <tableColumn id="10" xr3:uid="{F5D107D3-EE4A-42C8-9254-AEAC6E68C550}" name="May" dataDxfId="368"/>
    <tableColumn id="11" xr3:uid="{560CEDE7-BA76-45AB-9554-D3EC9BB1A04C}" name="June" dataDxfId="367"/>
    <tableColumn id="12" xr3:uid="{BF05277E-19FB-469A-AFCA-4CE617C5939A}" name="July" dataDxfId="36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2E98C4A-B6AD-4A70-BFF9-4EDD8FA189FB}" name="Table8" displayName="Table8" ref="A2:E301" totalsRowShown="0" headerRowDxfId="365" dataDxfId="363" headerRowBorderDxfId="364" tableBorderDxfId="362" totalsRowBorderDxfId="361">
  <tableColumns count="5">
    <tableColumn id="1" xr3:uid="{31361E21-C4ED-4FA0-915C-F84D7FBE4ED6}" name="Student's Name" dataDxfId="360">
      <calculatedColumnFormula>Roster!A3</calculatedColumnFormula>
    </tableColumn>
    <tableColumn id="2" xr3:uid="{C18C9FA4-B152-49FB-8B23-5F62BE7D8249}" name="Suicide Screening Assesment Date" dataDxfId="359"/>
    <tableColumn id="3" xr3:uid="{001445B8-22C9-492A-BB06-D3C25AAEFA73}" name="Current or Recent Suicide Ideation current or recent (within the week prior to screen/assessment)" dataDxfId="358"/>
    <tableColumn id="4" xr3:uid="{2C5FFE7B-FE81-4D57-963D-185643DFDBAB}" name="Past History of Suicide Ideation (suicide ideation prior to the past week)" dataDxfId="357"/>
    <tableColumn id="5" xr3:uid="{6AB3A89D-3900-488D-B301-D62DDC5A08F5}" name="Ever reported having a suicide attempt" dataDxfId="3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BECB2E-C84A-4D94-9FB4-31B175F004CF}" name="Table36103" displayName="Table36103" ref="A2:CI301" totalsRowShown="0" headerRowDxfId="355" dataDxfId="353" headerRowBorderDxfId="354">
  <tableColumns count="87">
    <tableColumn id="1" xr3:uid="{833A62B2-946B-4F15-BFEE-65C41DBB166A}" name="Student's Name" dataDxfId="352" totalsRowDxfId="351">
      <calculatedColumnFormula>Roster!A3</calculatedColumnFormula>
    </tableColumn>
    <tableColumn id="93" xr3:uid="{0BB29E2C-C9C3-431D-A93E-FDFE2F9B1BD4}" name="Age" dataDxfId="350" totalsRowDxfId="349">
      <calculatedColumnFormula>Roster!C3</calculatedColumnFormula>
    </tableColumn>
    <tableColumn id="2" xr3:uid="{5FD084E6-A5FB-4026-A1E3-2A9F09B037AB}" name="No Recom" dataDxfId="348" totalsRowDxfId="347"/>
    <tableColumn id="4" xr3:uid="{F0867018-230C-4351-A770-9873E3EC0891}" name="Continue Existing" dataDxfId="346" totalsRowDxfId="345"/>
    <tableColumn id="14" xr3:uid="{1E582A0D-EB89-4470-8B51-ED267FA17603}" name="Start New" dataDxfId="344" totalsRowDxfId="343"/>
    <tableColumn id="3" xr3:uid="{C94BEACE-3A9F-45B3-AAB3-D37B896E84A8}" name="Screening Results: Drug &amp; Alcohol Assessment 1" dataDxfId="342" totalsRowDxfId="341"/>
    <tableColumn id="5" xr3:uid="{DEBA2492-0DD0-4BC4-9D01-6FB4589B38BD}" name="Service Accessed 1" dataDxfId="340" totalsRowDxfId="339"/>
    <tableColumn id="6" xr3:uid="{11BBE08D-C2E9-445C-BF0C-6CE0210BDDAF}" name="Insurance Issues/Inability to pay for service 1" dataDxfId="338" totalsRowDxfId="337"/>
    <tableColumn id="7" xr3:uid="{F4A46983-E24D-4A1A-BFBF-07608397D0BD}" name="Lack of Transportation 1" dataDxfId="336" totalsRowDxfId="335"/>
    <tableColumn id="8" xr3:uid="{3391A39E-797D-4E08-B196-C09CF435A47B}" name="Student Refusal 1" dataDxfId="334" totalsRowDxfId="333"/>
    <tableColumn id="9" xr3:uid="{E307D01A-B2D5-4443-838B-1DE694560534}" name="Parent/Guardian Inaction or Refusal 1" dataDxfId="332" totalsRowDxfId="331"/>
    <tableColumn id="10" xr3:uid="{67FC9166-5018-4816-9E29-85D1844A05C1}" name="Client Waiting List 1" dataDxfId="330" totalsRowDxfId="329"/>
    <tableColumn id="11" xr3:uid="{DE7A8C66-DB40-4790-A49E-7548F8073C43}" name="Reason Unknown 1" dataDxfId="328" totalsRowDxfId="327"/>
    <tableColumn id="12" xr3:uid="{A94FEC96-6234-4080-9784-66269932B1E8}" name="Other 1" dataDxfId="326" totalsRowDxfId="325"/>
    <tableColumn id="13" xr3:uid="{05DBD492-258E-45D6-A9D9-856FE5EC6594}" name="Screening Results: Mental Health Assessment 2" dataDxfId="324" totalsRowDxfId="323"/>
    <tableColumn id="15" xr3:uid="{1C1E9F5C-ECD7-4180-8A21-B43C7C270CC3}" name="Service Accessed 2" dataDxfId="322" totalsRowDxfId="321"/>
    <tableColumn id="16" xr3:uid="{366397D2-A404-44AB-9BD3-2A44E94E9CB8}" name="Insurance Issues/Inability to pay for service 2" dataDxfId="320" totalsRowDxfId="319"/>
    <tableColumn id="17" xr3:uid="{78D093B8-503F-4A9B-ACDA-FD8004666F6C}" name="Lack of Transportation 2" dataDxfId="318" totalsRowDxfId="317"/>
    <tableColumn id="18" xr3:uid="{ECCE3EC3-4967-4D05-8D19-CD17089DD248}" name="Student Refusal 2" dataDxfId="316" totalsRowDxfId="315"/>
    <tableColumn id="19" xr3:uid="{A49928E2-8FE1-4A00-A187-1BE1D5BF0BBB}" name="Parent/Guardian Inaction or Refusal 2" dataDxfId="314" totalsRowDxfId="313"/>
    <tableColumn id="20" xr3:uid="{1E9BEA19-9B1E-49C5-B0A4-BB28CEA16F0E}" name="Client Waiting List 2" dataDxfId="312" totalsRowDxfId="311"/>
    <tableColumn id="21" xr3:uid="{9088C550-E0E6-4B40-A0F9-3BB1056DC208}" name="Reason Unknown 2" dataDxfId="310" totalsRowDxfId="309"/>
    <tableColumn id="22" xr3:uid="{403413C8-4281-43FB-86D1-8AA7A0D985FB}" name="Other 2" dataDxfId="308" totalsRowDxfId="307"/>
    <tableColumn id="24" xr3:uid="{CF8D1F9A-8478-4297-96D5-7BBDCEE931C7}" name="Screening Results: Co-occurring Assessment 3" dataDxfId="306" totalsRowDxfId="305"/>
    <tableColumn id="26" xr3:uid="{689FA513-D4CC-4C83-B45E-8A4ED7CE17B8}" name="Service Accessed 3" dataDxfId="304" totalsRowDxfId="303"/>
    <tableColumn id="27" xr3:uid="{32184A87-B07A-4583-81E9-132686CB0FF3}" name="Insurance Issues/Inability to pay for service 3" dataDxfId="302" totalsRowDxfId="301"/>
    <tableColumn id="28" xr3:uid="{322CEE1C-EF84-46E7-ACCA-DFA57813110B}" name="Lack of Transportation 3" dataDxfId="300" totalsRowDxfId="299"/>
    <tableColumn id="29" xr3:uid="{BF8CB9DE-FFAF-435A-837D-3C381C47B7B6}" name="Student Refusal 3" dataDxfId="298" totalsRowDxfId="297"/>
    <tableColumn id="30" xr3:uid="{F6F97E61-7CA6-49AF-996A-C9A1BE902EC7}" name="Parent/Guardian Inaction or Refusal 3" dataDxfId="296" totalsRowDxfId="295"/>
    <tableColumn id="31" xr3:uid="{19DD7293-FB73-4FE7-8261-641BED5A76AC}" name="Client Waiting List 3" dataDxfId="294" totalsRowDxfId="293"/>
    <tableColumn id="32" xr3:uid="{21AD0401-6A9A-47C7-991C-8E51D06FB257}" name="Reason Unknown 3" dataDxfId="292" totalsRowDxfId="291"/>
    <tableColumn id="33" xr3:uid="{7590D41D-3F35-4DD2-A78A-A44DAA91302C}" name="Other 3" dataDxfId="290" totalsRowDxfId="289"/>
    <tableColumn id="23" xr3:uid="{2D06424B-31A7-4CF9-92A1-204517974ACD}" name="Screening Results: In-school support services (e.g. academic supports, one-to-one or group supports by school staff) 4" dataDxfId="288" totalsRowDxfId="287"/>
    <tableColumn id="35" xr3:uid="{41650FF5-61BE-404C-B90F-8C28BA6A3051}" name="Service Accessed 4" dataDxfId="286" totalsRowDxfId="285"/>
    <tableColumn id="36" xr3:uid="{C6878658-01A3-448E-9F56-80196A4DA8C6}" name="Insurance Issues/Inability to pay for service 4" dataDxfId="284" totalsRowDxfId="283"/>
    <tableColumn id="37" xr3:uid="{9090EA9C-05A6-4DE2-ABFE-DB40E54059D1}" name="Lack of Transportation 4" dataDxfId="282" totalsRowDxfId="281"/>
    <tableColumn id="38" xr3:uid="{9159EF17-709A-442C-B2E7-0D191F40F428}" name="Student Refusal 4" dataDxfId="280" totalsRowDxfId="279"/>
    <tableColumn id="39" xr3:uid="{1E44FB71-1779-434B-B31B-AAAD1E85FFE8}" name="Parent/Guardian Inaction or Refusal 4" dataDxfId="278" totalsRowDxfId="277"/>
    <tableColumn id="40" xr3:uid="{B6EA4170-7D22-4F23-AB67-1D4B5D88D51F}" name="Client Waiting List 4" dataDxfId="276" totalsRowDxfId="275"/>
    <tableColumn id="41" xr3:uid="{6D1B350F-6C5F-4344-AF7E-2A37C0985C3C}" name="Reason Unknown 4" dataDxfId="274" totalsRowDxfId="273"/>
    <tableColumn id="42" xr3:uid="{B4C36D26-3404-4473-B6F9-F6AAABC75E80}" name="Other 4" dataDxfId="272" totalsRowDxfId="271"/>
    <tableColumn id="43" xr3:uid="{346327EF-7C72-4EBB-94F1-19752029C7A9}" name="Screening Results: Liaison support services (e.g. non-treatment individual/group supports) 5" dataDxfId="270" totalsRowDxfId="269"/>
    <tableColumn id="45" xr3:uid="{E16CEBC4-C7E5-4D15-9A8D-11FFC244644C}" name="Service Accessed 5" dataDxfId="268" totalsRowDxfId="267"/>
    <tableColumn id="46" xr3:uid="{9645789D-993C-4C8E-BED7-2066FCE970D4}" name="Insurance Issues/Inability to pay for service 5" dataDxfId="266" totalsRowDxfId="265"/>
    <tableColumn id="47" xr3:uid="{D921796A-D32A-4C83-BFA3-552937280F98}" name="Lack of Transportation 5" dataDxfId="264" totalsRowDxfId="263"/>
    <tableColumn id="48" xr3:uid="{A7CD1FF4-42A6-4E03-B0F8-16BA160B0BE1}" name="Student Refusal 5" dataDxfId="262" totalsRowDxfId="261"/>
    <tableColumn id="49" xr3:uid="{69D60E34-CB92-4DD5-B9C0-D673F05C034E}" name="Parent/Guardian Inaction or Refusal 5" dataDxfId="260" totalsRowDxfId="259"/>
    <tableColumn id="50" xr3:uid="{4ACC985D-8A6C-454B-B3D8-50D060C86E58}" name="Client Waiting List 5" dataDxfId="258" totalsRowDxfId="257"/>
    <tableColumn id="51" xr3:uid="{77957229-027E-43D7-B6E8-A75C95ABF8A8}" name="Reason Unknown 5" dataDxfId="256" totalsRowDxfId="255"/>
    <tableColumn id="52" xr3:uid="{B69530DA-AE22-467B-B293-FF7574CC795E}" name="Other 5" dataDxfId="254" totalsRowDxfId="253"/>
    <tableColumn id="53" xr3:uid="{D132EB68-AEB5-4054-9D82-7F4F5C150A00}" name="Screening Results: Community-based support services (e.g. Counseling, Big Brothers/ Sisters, Support Groups etc.) 6" dataDxfId="252" totalsRowDxfId="251"/>
    <tableColumn id="55" xr3:uid="{6E5A140E-7907-4C6E-8342-A6CF291DE2FF}" name="Service Accessed 6" dataDxfId="250" totalsRowDxfId="249"/>
    <tableColumn id="56" xr3:uid="{26141EA2-EFA9-45AA-8A41-C550507FB129}" name="Insurance Issues/Inability to pay for service 6" dataDxfId="248" totalsRowDxfId="247"/>
    <tableColumn id="57" xr3:uid="{FA71D7F4-31ED-4862-92C4-74971EB331EA}" name="Lack of Transportation 6" dataDxfId="246" totalsRowDxfId="245"/>
    <tableColumn id="58" xr3:uid="{C81018C8-0C7F-45F2-A10A-1506CF022A08}" name="Student Refusal 6" dataDxfId="244" totalsRowDxfId="243"/>
    <tableColumn id="59" xr3:uid="{9463563B-8CED-48B0-AD93-DB6E3B913968}" name="Parent/Guardian Inaction or Refusal 6" dataDxfId="242" totalsRowDxfId="241"/>
    <tableColumn id="60" xr3:uid="{A09CD0A6-83A8-4DFD-95AD-2F2D5FF44C5D}" name="Client Waiting List 6" dataDxfId="240" totalsRowDxfId="239"/>
    <tableColumn id="61" xr3:uid="{106A4DC9-B2C2-44B6-B6FC-442E0C66FAFE}" name="Reason Unknown 6" dataDxfId="238" totalsRowDxfId="237"/>
    <tableColumn id="62" xr3:uid="{6FECB3F5-8EC3-472D-82C2-72EC134544F9}" name="Other 6" dataDxfId="236" totalsRowDxfId="235"/>
    <tableColumn id="63" xr3:uid="{27326197-3C0D-4D8A-BA51-6D0429689243}" name="Screening Results: Crisis Intervention Services 7" dataDxfId="234" totalsRowDxfId="233"/>
    <tableColumn id="65" xr3:uid="{DE17527E-09BC-4A23-8DF1-38AE805E5599}" name="Service Accessed 7" dataDxfId="232" totalsRowDxfId="231"/>
    <tableColumn id="66" xr3:uid="{DBB768C7-E60C-4D5B-B4DF-F0E2F85F649B}" name="Insurance Issues/Inability to pay for service 7" dataDxfId="230" totalsRowDxfId="229"/>
    <tableColumn id="67" xr3:uid="{933FD71A-D6AB-4EC0-9A06-0B2B10A512B7}" name="Lack of Transportation 7" dataDxfId="228" totalsRowDxfId="227"/>
    <tableColumn id="68" xr3:uid="{1D853E84-9771-4661-AA0C-E43157A8C865}" name="Student Refusal 7" dataDxfId="226" totalsRowDxfId="225"/>
    <tableColumn id="69" xr3:uid="{D5F4D4BA-7A8D-4932-8705-1931A16E8995}" name="Parent/Guardian Inaction or Refusal 7" dataDxfId="224" totalsRowDxfId="223"/>
    <tableColumn id="70" xr3:uid="{475958AE-11B8-444C-8A88-F9D089A17696}" name="Client Waiting List 7" dataDxfId="222" totalsRowDxfId="221"/>
    <tableColumn id="71" xr3:uid="{CC97A0D3-8CB9-4EC4-973B-806DD0A838A2}" name="Reason Unknown 7" dataDxfId="220" totalsRowDxfId="219"/>
    <tableColumn id="72" xr3:uid="{985DE2B9-C626-418B-B8B1-F9B937704090}" name="Other 7" dataDxfId="218" totalsRowDxfId="217"/>
    <tableColumn id="73" xr3:uid="{93FD1F0A-248A-4A54-ABF3-1BB91BB740B5}" name="Screening Results: Medical/physical health services 8" dataDxfId="216" totalsRowDxfId="215"/>
    <tableColumn id="75" xr3:uid="{456AD376-F1B9-43D5-A3F6-CDB57B4DC86C}" name="Service Accessed 8" dataDxfId="214" totalsRowDxfId="213"/>
    <tableColumn id="76" xr3:uid="{47A4E3AD-9219-41B2-A54E-A40B8C9DC779}" name="Insurance Issues/Inability to pay for service 8" dataDxfId="212" totalsRowDxfId="211"/>
    <tableColumn id="77" xr3:uid="{3F0A7B94-89FA-4C13-B8BE-DC907291A9EF}" name="Lack of Transportation 8" dataDxfId="210" totalsRowDxfId="209"/>
    <tableColumn id="78" xr3:uid="{00E7D8C6-94A9-4642-9FCE-5F0974959A96}" name="Student Refusal 8" dataDxfId="208" totalsRowDxfId="207"/>
    <tableColumn id="79" xr3:uid="{808B80DC-DB58-4127-A668-BB0809DA7DE2}" name="Parent/Guardian Inaction or Refusal 8" dataDxfId="206" totalsRowDxfId="205"/>
    <tableColumn id="80" xr3:uid="{74B02696-8AB8-43BF-87A5-EE8F5F779524}" name="Client Waiting List 8" dataDxfId="204" totalsRowDxfId="203"/>
    <tableColumn id="81" xr3:uid="{92BDC354-7692-4D92-9829-41CF6165ED1E}" name="Reason Unknown 8" dataDxfId="202" totalsRowDxfId="201"/>
    <tableColumn id="82" xr3:uid="{EB8367DA-BBF5-468F-9717-6874419430D3}" name="Other 8" dataDxfId="200" totalsRowDxfId="199"/>
    <tableColumn id="83" xr3:uid="{EDFC2298-7B6D-4126-B1AA-D57A5AA64A5E}" name="Screening Results: Other Recommendation 9" dataDxfId="198" totalsRowDxfId="197"/>
    <tableColumn id="94" xr3:uid="{DF978A54-2830-449D-8126-E56985192BA3}" name="Name of Other Recommendation 9" dataDxfId="196" totalsRowDxfId="195"/>
    <tableColumn id="85" xr3:uid="{67C142D4-24F4-4C07-8805-0F3CA9F0D01F}" name="Service Accessed 9" dataDxfId="194" totalsRowDxfId="193"/>
    <tableColumn id="86" xr3:uid="{47677083-FBBA-417D-808D-A62CB83D5DE8}" name="Insurance Issues/Inability to pay for service 9" dataDxfId="192" totalsRowDxfId="191"/>
    <tableColumn id="87" xr3:uid="{3E393BC0-03BA-43E8-892D-5D8DFBE42DE5}" name="Lack of Transportation 9" dataDxfId="190" totalsRowDxfId="189"/>
    <tableColumn id="88" xr3:uid="{D789B8E9-1233-4B55-AF8C-F6D15F3F24F2}" name="Student Refusal 9" dataDxfId="188" totalsRowDxfId="187"/>
    <tableColumn id="89" xr3:uid="{60510440-5695-4016-B718-49D5F1356FC1}" name="Parent/Guardian Inaction or Refusal 9" dataDxfId="186" totalsRowDxfId="185"/>
    <tableColumn id="90" xr3:uid="{A7836B26-A635-4433-839E-D4CB53A89ED6}" name="Client Waiting List 9" dataDxfId="184" totalsRowDxfId="183"/>
    <tableColumn id="91" xr3:uid="{C0CB9729-B146-4488-88DF-DA8AB97C9327}" name="Reason Unknown 9" dataDxfId="182" totalsRowDxfId="181"/>
    <tableColumn id="92" xr3:uid="{5A97F2FB-A31F-4CFF-88BD-CF63D6F6C1D2}" name="Other Reason 9" dataDxfId="180" totalsRowDxfId="179"/>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CA1C1C-A171-4E60-AC29-C65F49AC9E20}" name="Table361034" displayName="Table361034" ref="A2:AW301" totalsRowShown="0" headerRowDxfId="178" dataDxfId="176" headerRowBorderDxfId="177">
  <tableColumns count="49">
    <tableColumn id="1" xr3:uid="{4030E372-F542-4D51-8C36-35319716F186}" name="Student's Name" dataDxfId="175">
      <calculatedColumnFormula>Roster!A3</calculatedColumnFormula>
    </tableColumn>
    <tableColumn id="53" xr3:uid="{902E8765-441B-4BB2-9467-A526F615FAF0}" name="Age" dataDxfId="174">
      <calculatedColumnFormula>Roster!C3</calculatedColumnFormula>
    </tableColumn>
    <tableColumn id="3" xr3:uid="{83A36E19-74F7-4581-91DF-0F0E991B70AE}" name="Screening Results: School Supports (non-treatment) 1" dataDxfId="173"/>
    <tableColumn id="5" xr3:uid="{89F1488F-9362-42D5-94AD-345EBE3F784E}" name="Service Accessed 1" dataDxfId="172"/>
    <tableColumn id="6" xr3:uid="{E89ECE60-93AB-4DA6-86BB-40050AA1B68E}" name="Insurance Issues/Inability to pay for service 1" dataDxfId="171"/>
    <tableColumn id="7" xr3:uid="{9488A2DD-C232-4E8E-A470-A290511ADCC4}" name="Lack of Transportation 1" dataDxfId="170"/>
    <tableColumn id="8" xr3:uid="{CD905E39-5BEA-45FE-BC89-8E811AE46BB1}" name="Student Refusal 1" dataDxfId="169"/>
    <tableColumn id="9" xr3:uid="{D95C237C-71E3-4954-8E23-113CC5EAAC6E}" name="Parent/Guardian Inaction or Refusal 1" dataDxfId="168"/>
    <tableColumn id="10" xr3:uid="{08AD9C62-B5A6-4717-8388-65FF15A2BBF1}" name="Client Waiting List 1" dataDxfId="167"/>
    <tableColumn id="11" xr3:uid="{B60D98DA-6554-45FA-B6BC-A05DE626D7C7}" name="Reason Unknown 1" dataDxfId="166"/>
    <tableColumn id="12" xr3:uid="{EFCB5756-A3DD-4368-8633-0F92FEA33D8B}" name="Other 1" dataDxfId="165"/>
    <tableColumn id="13" xr3:uid="{5E5BBFC8-E2B1-412E-8FA7-7CDA83DD3AA4}" name="Screening Results: Liaison Support Services (non-treatment) 2" dataDxfId="164"/>
    <tableColumn id="15" xr3:uid="{C804F732-FDC5-4472-AA72-320F6F69A412}" name="Service Accessed 2" dataDxfId="163"/>
    <tableColumn id="16" xr3:uid="{896B562C-0F28-4AF9-B926-F6123B733005}" name="Insurance Issues/Inability to pay for service 2" dataDxfId="162"/>
    <tableColumn id="17" xr3:uid="{D52F50AC-C241-47C8-92E9-D82D8AC4342A}" name="Lack of Transportation 2" dataDxfId="161"/>
    <tableColumn id="18" xr3:uid="{3E48497F-0594-48CA-A6C9-7F0CA1CDC215}" name="Student Refusal 2" dataDxfId="160"/>
    <tableColumn id="19" xr3:uid="{5B9A61F4-383B-46F8-9D78-E842452B8065}" name="Parent/Guardian Inaction or Refusal 2" dataDxfId="159"/>
    <tableColumn id="20" xr3:uid="{1BADD44D-82B6-4FF3-9801-89A926A837F8}" name="Client Waiting List 2" dataDxfId="158"/>
    <tableColumn id="21" xr3:uid="{F1C9E8B7-571E-445C-9C92-BA898B091344}" name="Reason Unknown 2" dataDxfId="157"/>
    <tableColumn id="22" xr3:uid="{D37F297A-8333-4FFE-AAFE-B48AFFF18EA2}" name="Other 2" dataDxfId="156"/>
    <tableColumn id="24" xr3:uid="{E03DA365-E813-4F5A-A00A-560EAD7DC02C}" name="Screening Results: Community Based or Other Support Services (non-treatment) 3" dataDxfId="155"/>
    <tableColumn id="54" xr3:uid="{D9A5984D-10B2-4C2B-B3F4-0998E71B2A98}" name="Name of Other Support Service 3" dataDxfId="154"/>
    <tableColumn id="26" xr3:uid="{B21AE625-7E0D-4CEE-B697-25E03FFD280B}" name="Service Accessed 3" dataDxfId="153"/>
    <tableColumn id="27" xr3:uid="{988D1F41-7EBA-44BA-91D4-597FA7E8F949}" name="Insurance Issues/Inability to pay for service 3" dataDxfId="152"/>
    <tableColumn id="28" xr3:uid="{9C6F6F9F-50A0-45F0-897B-6EA2ADC4AD37}" name="Lack of Transportation 3" dataDxfId="151"/>
    <tableColumn id="29" xr3:uid="{4D6BADC3-9486-4DDA-BDC8-AF8BEEAD398A}" name="Student Refusal 3" dataDxfId="150"/>
    <tableColumn id="30" xr3:uid="{692C4C4D-66A8-4825-AC6E-4AF0C6A30770}" name="Parent/Guardian Inaction or Refusal 3" dataDxfId="149"/>
    <tableColumn id="31" xr3:uid="{62E604CC-69ED-47AE-ACF3-787812C10911}" name="Client Waiting List 3" dataDxfId="148"/>
    <tableColumn id="32" xr3:uid="{DE19F8B1-9171-423B-ABFB-7FA0EBC7DBC1}" name="Reason Unknown 3" dataDxfId="147"/>
    <tableColumn id="33" xr3:uid="{3733FD13-F0A2-41EF-992E-FC75268447EB}" name="Other 3" dataDxfId="146"/>
    <tableColumn id="23" xr3:uid="{BDA3F3EB-13CB-425A-A224-F6FC8A7B8B18}" name="Screening Results: Referral to Crisis Intervention Services 4" dataDxfId="145"/>
    <tableColumn id="35" xr3:uid="{5C434F16-E387-4DA1-BBCE-44BDB6FB78C0}" name="Service Accessed 4" dataDxfId="144"/>
    <tableColumn id="36" xr3:uid="{22549379-6EAA-41DD-889C-75C9955C1A04}" name="Insurance Issues/Inability to pay for service 4" dataDxfId="143"/>
    <tableColumn id="37" xr3:uid="{548D24FD-95E6-4490-8685-72D35797E13E}" name="Lack of Transportation 4" dataDxfId="142"/>
    <tableColumn id="38" xr3:uid="{1930677C-2036-43BA-85D6-31FC615139A8}" name="Student Refusal 4" dataDxfId="141"/>
    <tableColumn id="39" xr3:uid="{85088769-37E7-431D-9E62-BBA3390E4ACE}" name="Parent/Guardian Inaction or Refusal 4" dataDxfId="140"/>
    <tableColumn id="40" xr3:uid="{F9C34932-72C7-4845-B472-877CA484E8EF}" name="Client Waiting List 4" dataDxfId="139"/>
    <tableColumn id="41" xr3:uid="{DC3286A5-FDBD-4D55-905E-92F914A0D527}" name="Reason Unknown 4" dataDxfId="138"/>
    <tableColumn id="42" xr3:uid="{8154AB53-C7E2-45FB-8F6A-F500E2C47EAB}" name="Other 4" dataDxfId="137"/>
    <tableColumn id="43" xr3:uid="{346EE7BA-57A2-4F48-A6BD-C19F1112351F}" name="Screening Results: Other Assessment 5" dataDxfId="136"/>
    <tableColumn id="55" xr3:uid="{073D9CE2-2196-4B16-B050-1774C89BD89D}" name="Name of Other Assessment 5" dataDxfId="135"/>
    <tableColumn id="45" xr3:uid="{D8EB9F2B-E6BE-4F00-8EBD-A175EA0D9CA3}" name="Service Accessed 5" dataDxfId="134"/>
    <tableColumn id="46" xr3:uid="{0950A820-8ECA-43C7-AD2D-DB708002E7F1}" name="Insurance Issues/Inability to pay for service 5" dataDxfId="133"/>
    <tableColumn id="47" xr3:uid="{522A3ACD-446B-40F8-9B0A-05C89936B21C}" name="Lack of Transportation 5" dataDxfId="132"/>
    <tableColumn id="48" xr3:uid="{62BE814A-3296-493F-9ECB-0FD9B60C13FC}" name="Student Refusal 5" dataDxfId="131"/>
    <tableColumn id="49" xr3:uid="{291B0817-7394-44F1-B809-7FD2405C03EA}" name="Parent/Guardian Inaction or Refusal 5" dataDxfId="130"/>
    <tableColumn id="50" xr3:uid="{A8B91B51-8F59-44B4-A6B6-A834A65ABAE8}" name="Client Waiting List 5" dataDxfId="129"/>
    <tableColumn id="51" xr3:uid="{984D2541-46A7-4871-9C08-B44A2A7B2468}" name="Reason Unknown 5" dataDxfId="128"/>
    <tableColumn id="52" xr3:uid="{A0F7CEB1-970D-4BB2-89BE-1B0130B6C331}" name="Other Reason 5" dataDxfId="127"/>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363A97-A503-4D17-B469-6A6AB99D8AEE}" name="Table3610345" displayName="Table3610345" ref="A2:BM301" totalsRowShown="0" headerRowDxfId="126" dataDxfId="124" headerRowBorderDxfId="125">
  <tableColumns count="65">
    <tableColumn id="1" xr3:uid="{330EB195-C35F-473E-98F0-B0EBE7644BB2}" name="Student's Name" dataDxfId="123">
      <calculatedColumnFormula>Roster!A3</calculatedColumnFormula>
    </tableColumn>
    <tableColumn id="73" xr3:uid="{1036097B-F35E-4472-845C-0A334DEA7367}" name="Age" dataDxfId="122">
      <calculatedColumnFormula>Roster!C3</calculatedColumnFormula>
    </tableColumn>
    <tableColumn id="3" xr3:uid="{EEBC63F3-B808-4050-9050-EB4343E3BA1E}" name="Screening Results: Psychiatric Outpatient – School Based 1" dataDxfId="121"/>
    <tableColumn id="5" xr3:uid="{5D5680E3-25EF-4C66-9788-95E9E41F789F}" name="Service Accessed 1" dataDxfId="120"/>
    <tableColumn id="6" xr3:uid="{AAC70344-52F7-4635-AB4C-73B628BC2C44}" name="Insurance Issues/Inability to pay for service 1" dataDxfId="119"/>
    <tableColumn id="7" xr3:uid="{84367F13-2E71-4FAD-859A-51EBADB8F27D}" name="Lack of Transportation 1" dataDxfId="118"/>
    <tableColumn id="8" xr3:uid="{EC24AA05-55B9-4505-B991-F46AF549EC1A}" name="Student Refusal 1" dataDxfId="117"/>
    <tableColumn id="9" xr3:uid="{AA84CDCA-9C1A-4179-9C64-AA4FE439F254}" name="Parent/Guardian Inaction or Refusal 1" dataDxfId="116"/>
    <tableColumn id="10" xr3:uid="{419E2A02-A99D-4231-A80A-A5CF79EEADBC}" name="Client Waiting List 1" dataDxfId="115"/>
    <tableColumn id="11" xr3:uid="{A748816F-D739-4F1A-A3F9-1982A3D25E20}" name="Reason Unknown 1" dataDxfId="114"/>
    <tableColumn id="12" xr3:uid="{30F2F5A9-37A8-45D5-995B-50841AD97DA2}" name="Other 1" dataDxfId="113"/>
    <tableColumn id="13" xr3:uid="{AF48FB41-2298-4C6C-A5DC-E64EAB1B5588}" name="Screening Results: Psychiatric Outpatient – Community Based 2" dataDxfId="112"/>
    <tableColumn id="15" xr3:uid="{C7F62E8E-BE86-4CCC-9ED9-02D0546FE64E}" name="Service Accessed 2" dataDxfId="111"/>
    <tableColumn id="16" xr3:uid="{7E8241BA-47A2-42A8-84FB-4619B3434A38}" name="Insurance Issues/Inability to pay for service 2" dataDxfId="110"/>
    <tableColumn id="17" xr3:uid="{A9EB55DB-72D5-462A-B42E-16483A996DB1}" name="Lack of Transportation 2" dataDxfId="109"/>
    <tableColumn id="18" xr3:uid="{9348B63E-84A5-4A41-8A2F-3466992C5B09}" name="Student Refusal 2" dataDxfId="108"/>
    <tableColumn id="19" xr3:uid="{931D4D9D-B25E-4C95-82B2-D69F279A36D0}" name="Parent/Guardian Inaction or Refusal 2" dataDxfId="107"/>
    <tableColumn id="20" xr3:uid="{17F7ADD9-12E1-4390-8FB7-97C283957283}" name="Client Waiting List 2" dataDxfId="106"/>
    <tableColumn id="21" xr3:uid="{5812DC5D-9862-43B9-835B-9BBB42AD90B3}" name="Reason Unknown 2" dataDxfId="105"/>
    <tableColumn id="22" xr3:uid="{2916DF78-B4A6-4B66-9BD6-06D0D6ACE85B}" name="Other 2" dataDxfId="104"/>
    <tableColumn id="24" xr3:uid="{84D9E657-4787-4BFE-A650-C4B72E1E8350}" name="Screening Results: Psychiatric Partial Hospitalization Program 3" dataDxfId="103"/>
    <tableColumn id="26" xr3:uid="{5E3E551F-C8A0-4EC2-A290-C07E86A74C5E}" name="Service Accessed 3" dataDxfId="102"/>
    <tableColumn id="27" xr3:uid="{9981A353-4963-408A-A403-FC118C1806D6}" name="Insurance Issues/Inability to pay for service 3" dataDxfId="101"/>
    <tableColumn id="28" xr3:uid="{384B4A6D-BF41-40B1-B3D4-ED7B91501D28}" name="Lack of Transportation 3" dataDxfId="100"/>
    <tableColumn id="29" xr3:uid="{477DEA8A-B20B-437E-AC16-2DBB17FD5F9E}" name="Student Refusal 3" dataDxfId="99"/>
    <tableColumn id="30" xr3:uid="{780FC71F-E205-42A6-9D68-41CADE5033F4}" name="Parent/Guardian Inaction or Refusal 3" dataDxfId="98"/>
    <tableColumn id="31" xr3:uid="{3A316594-298A-4865-BF59-509D2FF35E15}" name="Client Waiting List 3" dataDxfId="97"/>
    <tableColumn id="32" xr3:uid="{87217382-A7F2-4310-8887-A1BFFFDC69F2}" name="Reason Unknown 3" dataDxfId="96"/>
    <tableColumn id="33" xr3:uid="{3DA447DE-7D3C-47F7-A523-831B44A22880}" name="Other 3" dataDxfId="95"/>
    <tableColumn id="23" xr3:uid="{3D7E62A1-8095-46D9-993E-8B8D19B03934}" name="Screening Results: Family-based Mental Health Services (FBMHS) 4" dataDxfId="94"/>
    <tableColumn id="35" xr3:uid="{6AD069D5-1F13-4B15-B49C-58F9787BB865}" name="Service Accessed 4" dataDxfId="93"/>
    <tableColumn id="36" xr3:uid="{D440307E-52B6-4017-8340-56FC6FE14A4F}" name="Insurance Issues/Inability to pay for service 4" dataDxfId="92"/>
    <tableColumn id="37" xr3:uid="{42CE3A5B-01DC-4859-97F1-082792FF4767}" name="Lack of Transportation 4" dataDxfId="91"/>
    <tableColumn id="38" xr3:uid="{83641F0A-B881-4496-9A5C-CEAD47266AE8}" name="Student Refusal 4" dataDxfId="90"/>
    <tableColumn id="39" xr3:uid="{0514D805-4B04-4C36-ADE5-E569ED65917C}" name="Parent/Guardian Inaction or Refusal 4" dataDxfId="89"/>
    <tableColumn id="40" xr3:uid="{9F65DC91-10D0-4723-9140-7C2F6CAC1127}" name="Client Waiting List 4" dataDxfId="88"/>
    <tableColumn id="41" xr3:uid="{930EB097-C7CF-4C0E-807A-AEEA86349A58}" name="Reason Unknown 4" dataDxfId="87"/>
    <tableColumn id="42" xr3:uid="{933C5394-8B1B-4DD4-BF40-A195F69933FB}" name="Other 4" dataDxfId="86"/>
    <tableColumn id="43" xr3:uid="{E3201E59-8744-4A48-9B74-964DB6E9567C}" name="Screening Results: Intensive Behavioral Health Services (IBHS) 5" dataDxfId="85"/>
    <tableColumn id="45" xr3:uid="{743AFB85-9787-4B7C-9633-48E73868862D}" name="Service Accessed 5" dataDxfId="84"/>
    <tableColumn id="46" xr3:uid="{441FF7F5-C959-48BE-9EBF-DF0BDDE83C64}" name="Insurance Issues/Inability to pay for service 5" dataDxfId="83"/>
    <tableColumn id="47" xr3:uid="{A71973BF-1CAF-45D8-A377-AD51456C09DE}" name="Lack of Transportation 5" dataDxfId="82"/>
    <tableColumn id="48" xr3:uid="{2F711EDB-5822-4FC2-8300-EF99398DECEF}" name="Student Refusal 5" dataDxfId="81"/>
    <tableColumn id="49" xr3:uid="{43CB0689-7BBC-4005-AA6A-C6D09A5BCCFC}" name="Parent/Guardian Inaction or Refusal 5" dataDxfId="80"/>
    <tableColumn id="50" xr3:uid="{C4EB7AB8-33C7-4FA6-89E9-1F9048B014A3}" name="Client Waiting List 5" dataDxfId="79"/>
    <tableColumn id="51" xr3:uid="{2C721EDF-EE31-4C1B-832A-4EA34AB186D1}" name="Reason Unknown 5" dataDxfId="78"/>
    <tableColumn id="52" xr3:uid="{B557D2F8-63B6-461C-80A8-525AAB77DFC0}" name="Other 5" dataDxfId="77"/>
    <tableColumn id="53" xr3:uid="{827761AF-3186-4E99-97C3-14C87675EC81}" name="Screening Results: Psychiatric Residential Treatment Facility 6" dataDxfId="76"/>
    <tableColumn id="55" xr3:uid="{6B8134B4-C759-481C-A8DB-547CCF94016F}" name="Service Accessed 6" dataDxfId="75"/>
    <tableColumn id="56" xr3:uid="{66DA30B1-42B9-45E0-94AA-B4B236F5EA73}" name="Insurance Issues/Inability to pay for service 6" dataDxfId="74"/>
    <tableColumn id="57" xr3:uid="{36C8711F-CF8C-4886-A79F-DBFCD932D994}" name="Lack of Transportation 6" dataDxfId="73"/>
    <tableColumn id="58" xr3:uid="{3B3F80B2-E2F6-4B7B-A716-75C5E73A0919}" name="Student Refusal 6" dataDxfId="72"/>
    <tableColumn id="59" xr3:uid="{7E9CAD6A-9D7C-4CB1-8F93-95C8BB8AC32A}" name="Parent/Guardian Inaction or Refusal 6" dataDxfId="71"/>
    <tableColumn id="60" xr3:uid="{291D3B8D-5256-474E-9E7E-77A95F4E65B5}" name="Client Waiting List 6" dataDxfId="70"/>
    <tableColumn id="61" xr3:uid="{3B790861-FC78-41CA-838F-2178EC945732}" name="Reason Unknown 6" dataDxfId="69"/>
    <tableColumn id="62" xr3:uid="{0CFCD2D9-72F9-480C-917C-E16E5FFA888A}" name="Other 6" dataDxfId="68"/>
    <tableColumn id="63" xr3:uid="{ED8A8A30-9D8F-49FD-A1E9-341E898B6627}" name="Screening Results: Psychiatric Inpatient Hospitalization 7" dataDxfId="67"/>
    <tableColumn id="65" xr3:uid="{8CAA180F-D94F-4E2E-BE4A-A0DB0319BA7B}" name="Service Accessed 7" dataDxfId="66"/>
    <tableColumn id="66" xr3:uid="{7162752F-225A-4C66-9BC3-87EA54BBA405}" name="Insurance Issues/Inability to pay for service 7" dataDxfId="65"/>
    <tableColumn id="67" xr3:uid="{9ACA8A54-BA6F-4E0C-A5CA-70B8110FEBAF}" name="Lack of Transportation 7" dataDxfId="64"/>
    <tableColumn id="68" xr3:uid="{A9865FFD-0C5B-4A54-A602-6C4383E65A3F}" name="Student Refusal 7" dataDxfId="63"/>
    <tableColumn id="69" xr3:uid="{55BED1B3-F30F-4FF2-8F19-8E62B13482B3}" name="Parent/Guardian Inaction or Refusal 7" dataDxfId="62"/>
    <tableColumn id="70" xr3:uid="{670E0CBF-343E-4A8B-9785-2710C126B72D}" name="Client Waiting List 7" dataDxfId="61"/>
    <tableColumn id="71" xr3:uid="{7E0ED442-34B5-44F3-B11A-06E9CA4D13DB}" name="Reason Unknown 7" dataDxfId="60"/>
    <tableColumn id="72" xr3:uid="{9C0AEAC5-D10B-4F2B-8CC4-0FB9B47188F5}" name="Other Reason 7" dataDxfId="59"/>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A34B72D-4B8A-4977-BCD4-EEDF961644C5}" name="Table361037" displayName="Table361037" ref="A2:BD302" totalsRowShown="0" headerRowDxfId="58" dataDxfId="56" headerRowBorderDxfId="57">
  <tableColumns count="56">
    <tableColumn id="1" xr3:uid="{58826277-DD45-437E-8DA0-7C554625FEA0}" name="Student's Name" dataDxfId="55">
      <calculatedColumnFormula>Roster!A3</calculatedColumnFormula>
    </tableColumn>
    <tableColumn id="93" xr3:uid="{3BE9E43A-3E30-4B9A-8B5E-6F49398B87D0}" name="Age" dataDxfId="54">
      <calculatedColumnFormula>Roster!C3</calculatedColumnFormula>
    </tableColumn>
    <tableColumn id="3" xr3:uid="{4B29EF5D-4C7F-49F7-A3A0-AE7F2CE8EA20}" name="Screening Results: D/A Early Intervention (ASAM .5) 1" dataDxfId="53"/>
    <tableColumn id="5" xr3:uid="{836947B7-F904-468E-9C26-1B4ADF280826}" name="Service Accessed 1" dataDxfId="52"/>
    <tableColumn id="6" xr3:uid="{71BBE85C-406F-47A0-8058-4E85764D071C}" name="Insurance Issues/Inability to pay for service 1" dataDxfId="51"/>
    <tableColumn id="7" xr3:uid="{EEA6BC64-E938-44B0-9AD3-F12B03DF4293}" name="Lack of Transportation 1" dataDxfId="50"/>
    <tableColumn id="8" xr3:uid="{E1DB9B46-5957-4EA3-98AB-63EB2F7AD8CE}" name="Student Refusal 1" dataDxfId="49"/>
    <tableColumn id="9" xr3:uid="{D8315664-79A3-4A5B-A16B-A8E3EB2B7EC1}" name="Parent/Guardian Inaction or Refusal 1" dataDxfId="48"/>
    <tableColumn id="10" xr3:uid="{1548EEF0-8BCE-4B6B-8A3E-3D1556AB4E09}" name="Client Waiting List 1" dataDxfId="47"/>
    <tableColumn id="11" xr3:uid="{C6ACD012-AADC-4FCC-A412-9E67F7293B64}" name="Reason Unknown 1" dataDxfId="46"/>
    <tableColumn id="12" xr3:uid="{F45DFE17-E936-4E18-A2E7-78CED22B5822}" name="Other 1" dataDxfId="45"/>
    <tableColumn id="13" xr3:uid="{8BFF00B0-ECF5-4174-8523-0A821B3984B0}" name="Screening Results: D/A Outpatient (ASAM Level 1) 2" dataDxfId="44"/>
    <tableColumn id="15" xr3:uid="{B0D8FBD0-D1BE-4F96-B894-E8765CFD5978}" name="Service Accessed 2" dataDxfId="43"/>
    <tableColumn id="16" xr3:uid="{0E936413-69C3-44D0-BB17-AB56A0E46D51}" name="Insurance Issues/Inability to pay for service 2" dataDxfId="42"/>
    <tableColumn id="17" xr3:uid="{24065241-C31E-4A19-926C-6E4A3A3D0F25}" name="Lack of Transportation 2" dataDxfId="41"/>
    <tableColumn id="18" xr3:uid="{221C8561-7C9B-4C42-86B8-6FA5CCBCCAB3}" name="Student Refusal 2" dataDxfId="40"/>
    <tableColumn id="19" xr3:uid="{6653FDFF-72C4-4A2C-AFAA-190DA848B940}" name="Parent/Guardian Inaction or Refusal 2" dataDxfId="39"/>
    <tableColumn id="20" xr3:uid="{C4E1CF6B-A796-4E82-807F-1FC7E2BDF600}" name="Client Waiting List 2" dataDxfId="38"/>
    <tableColumn id="21" xr3:uid="{8291B278-C3B8-44BF-B046-A93DB1BCB2C8}" name="Reason Unknown 2" dataDxfId="37"/>
    <tableColumn id="22" xr3:uid="{8A4096A5-82C1-4D88-893F-193B1813A093}" name="Other 2" dataDxfId="36"/>
    <tableColumn id="24" xr3:uid="{A480964F-218B-4E59-B307-C4F37032F20D}" name="Screening Results: D/A Intensive Outpatient (ASAM 2.1) 3" dataDxfId="35"/>
    <tableColumn id="26" xr3:uid="{2FE399B8-4090-4A36-AD4D-5D10D75E8E52}" name="Service Accessed 3" dataDxfId="34"/>
    <tableColumn id="27" xr3:uid="{6A031C84-8765-4018-8D77-4A95DED84E48}" name="Insurance Issues/Inability to pay for service 3" dataDxfId="33"/>
    <tableColumn id="28" xr3:uid="{457C9FF1-5F78-411C-AB59-899400BB3984}" name="Lack of Transportation 3" dataDxfId="32"/>
    <tableColumn id="29" xr3:uid="{498B45AA-1276-4953-8B86-08BC2F61D7D4}" name="Student Refusal 3" dataDxfId="31"/>
    <tableColumn id="30" xr3:uid="{0FCB67A0-4BC7-4207-8187-1FA848368504}" name="Parent/Guardian Inaction or Refusal 3" dataDxfId="30"/>
    <tableColumn id="31" xr3:uid="{2B37CD78-BBBF-4C3A-AECA-E34E44ACFC5B}" name="Client Waiting List 3" dataDxfId="29"/>
    <tableColumn id="32" xr3:uid="{1A8863B8-F107-453C-8A6E-21C823B91E96}" name="Reason Unknown 3" dataDxfId="28"/>
    <tableColumn id="33" xr3:uid="{8EA166B3-F438-4750-A592-6A4217AD7EAA}" name="Other 3" dataDxfId="27"/>
    <tableColumn id="23" xr3:uid="{EAC8B3BA-ABD4-4DE6-81B8-D1E64F64D16D}" name="Screening Results: D/A Partial Hospitalization (ASAM 2.5) 4" dataDxfId="26"/>
    <tableColumn id="35" xr3:uid="{70BD7DF5-08AC-4D4A-B284-3E918D8CF1A9}" name="Service Accessed 4" dataDxfId="25"/>
    <tableColumn id="36" xr3:uid="{155B8E33-B88C-4465-AF07-A627FCEBF2DA}" name="Insurance Issues/Inability to pay for service 4" dataDxfId="24"/>
    <tableColumn id="37" xr3:uid="{5C70D6D9-59C8-45B0-999F-8A78B452096F}" name="Lack of Transportation 4" dataDxfId="23"/>
    <tableColumn id="38" xr3:uid="{303A71FD-B54E-4D5A-942C-0E6327F7255B}" name="Student Refusal 4" dataDxfId="22"/>
    <tableColumn id="39" xr3:uid="{9F5189A4-3B1D-47EB-AFA1-253F4AC55259}" name="Parent/Guardian Inaction or Refusal 4" dataDxfId="21"/>
    <tableColumn id="40" xr3:uid="{7ED5EE25-D570-4631-A392-AA75D462BDB4}" name="Client Waiting List 4" dataDxfId="20"/>
    <tableColumn id="41" xr3:uid="{837204D5-211D-4E96-ABEC-231AEE79FD42}" name="Reason Unknown 4" dataDxfId="19"/>
    <tableColumn id="42" xr3:uid="{8398D292-B0E2-4B1F-AC1D-114F242DF985}" name="Other 4" dataDxfId="18"/>
    <tableColumn id="43" xr3:uid="{3F497B82-C327-430D-94F3-F846689BD239}" name="Screening Results: D/A Residential/Inpatient (ASAM Level 3) 5" dataDxfId="17"/>
    <tableColumn id="45" xr3:uid="{8D42147A-7D9F-4A7E-9FF2-672CADC0B830}" name="Service Accessed 5" dataDxfId="16"/>
    <tableColumn id="46" xr3:uid="{7C43BB7C-DA93-43E0-A102-179CB79CB381}" name="Insurance Issues/Inability to pay for service 5" dataDxfId="15"/>
    <tableColumn id="47" xr3:uid="{CA6DBEA9-6FF4-4FF8-A18F-B7501BA52451}" name="Lack of Transportation 5" dataDxfId="14"/>
    <tableColumn id="48" xr3:uid="{CEBAEBBB-855F-40A0-91A4-E370C620B6DB}" name="Student Refusal 5" dataDxfId="13"/>
    <tableColumn id="49" xr3:uid="{5E16CE60-950D-430A-A705-CF95B11E9C96}" name="Parent/Guardian Inaction or Refusal 5" dataDxfId="12"/>
    <tableColumn id="50" xr3:uid="{6FC1A4E2-8173-4961-9FD2-712D2ACC4EB2}" name="Client Waiting List 5" dataDxfId="11"/>
    <tableColumn id="51" xr3:uid="{10B3459B-90A6-4FED-938A-4C3D5AEE0481}" name="Reason Unknown 5" dataDxfId="10"/>
    <tableColumn id="52" xr3:uid="{E60BD7F9-F3B0-40EE-8F21-67AB8A90F93F}" name="Other 5" dataDxfId="9"/>
    <tableColumn id="53" xr3:uid="{7CE1A1BE-C837-4F81-A2EC-B7C8C8229758}" name="Screening Results: D/A Intensive Inpatient (ASAM Level 4) 6" dataDxfId="8"/>
    <tableColumn id="55" xr3:uid="{2AF732A9-4921-4006-90C9-175FCD5B2086}" name="Service Accessed 6" dataDxfId="7"/>
    <tableColumn id="56" xr3:uid="{B9F90B28-2881-465B-B694-848FA47844C3}" name="Insurance Issues/Inability to pay for service 6" dataDxfId="6"/>
    <tableColumn id="57" xr3:uid="{FDA29A4E-EAE4-4065-9728-418530CDEA81}" name="Lack of Transportation 6" dataDxfId="5"/>
    <tableColumn id="58" xr3:uid="{B0D6F518-6DFB-4EC3-83D8-6A68C577DC0B}" name="Student Refusal 6" dataDxfId="4"/>
    <tableColumn id="59" xr3:uid="{4763610E-6BC7-42FE-906A-D187DB9FF601}" name="Parent/Guardian Inaction or Refusal 6" dataDxfId="3"/>
    <tableColumn id="60" xr3:uid="{11C81895-1527-40CD-93A3-46607429B26B}" name="Client Waiting List 6" dataDxfId="2"/>
    <tableColumn id="61" xr3:uid="{DEE904EF-8DD2-43F1-BD00-72D4320299B3}" name="Reason Unknown 6" dataDxfId="1"/>
    <tableColumn id="62" xr3:uid="{F51E0A15-6393-4D19-9E10-B245A93499BD}" name="Other 6"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4EE4-68BC-4011-9CF6-A8129C1F2877}">
  <sheetPr>
    <tabColor theme="0" tint="-0.249977111117893"/>
  </sheetPr>
  <dimension ref="A1:B302"/>
  <sheetViews>
    <sheetView zoomScaleNormal="100" workbookViewId="0">
      <pane ySplit="2" topLeftCell="A3" activePane="bottomLeft" state="frozen"/>
      <selection pane="bottomLeft" activeCell="A3" sqref="A3"/>
    </sheetView>
  </sheetViews>
  <sheetFormatPr defaultRowHeight="15"/>
  <cols>
    <col min="1" max="1" width="19" bestFit="1" customWidth="1"/>
    <col min="2" max="2" width="16.42578125" bestFit="1" customWidth="1"/>
  </cols>
  <sheetData>
    <row r="1" spans="1:2">
      <c r="A1" s="215" t="s">
        <v>0</v>
      </c>
      <c r="B1" s="215"/>
    </row>
    <row r="2" spans="1:2">
      <c r="A2" s="77" t="s">
        <v>1</v>
      </c>
      <c r="B2" s="77" t="s">
        <v>2</v>
      </c>
    </row>
    <row r="3" spans="1:2">
      <c r="A3" s="44"/>
      <c r="B3" s="46"/>
    </row>
    <row r="4" spans="1:2">
      <c r="A4" s="44"/>
      <c r="B4" s="46"/>
    </row>
    <row r="5" spans="1:2">
      <c r="A5" s="44"/>
      <c r="B5" s="46"/>
    </row>
    <row r="6" spans="1:2">
      <c r="A6" s="44"/>
      <c r="B6" s="46"/>
    </row>
    <row r="7" spans="1:2">
      <c r="A7" s="44"/>
      <c r="B7" s="46"/>
    </row>
    <row r="8" spans="1:2">
      <c r="A8" s="44"/>
      <c r="B8" s="46"/>
    </row>
    <row r="9" spans="1:2">
      <c r="A9" s="44"/>
      <c r="B9" s="46"/>
    </row>
    <row r="10" spans="1:2">
      <c r="A10" s="44"/>
      <c r="B10" s="46"/>
    </row>
    <row r="11" spans="1:2">
      <c r="A11" s="44"/>
      <c r="B11" s="46"/>
    </row>
    <row r="12" spans="1:2">
      <c r="A12" s="44"/>
      <c r="B12" s="46"/>
    </row>
    <row r="13" spans="1:2">
      <c r="A13" s="44"/>
      <c r="B13" s="46"/>
    </row>
    <row r="14" spans="1:2">
      <c r="A14" s="44"/>
      <c r="B14" s="46"/>
    </row>
    <row r="15" spans="1:2">
      <c r="A15" s="44"/>
      <c r="B15" s="46"/>
    </row>
    <row r="16" spans="1:2">
      <c r="A16" s="44"/>
      <c r="B16" s="46"/>
    </row>
    <row r="17" spans="1:2">
      <c r="A17" s="44"/>
      <c r="B17" s="46"/>
    </row>
    <row r="18" spans="1:2">
      <c r="A18" s="44"/>
      <c r="B18" s="46"/>
    </row>
    <row r="19" spans="1:2">
      <c r="A19" s="44"/>
      <c r="B19" s="46"/>
    </row>
    <row r="20" spans="1:2">
      <c r="A20" s="44"/>
      <c r="B20" s="46"/>
    </row>
    <row r="21" spans="1:2">
      <c r="A21" s="44"/>
      <c r="B21" s="46"/>
    </row>
    <row r="22" spans="1:2">
      <c r="A22" s="44"/>
      <c r="B22" s="46"/>
    </row>
    <row r="23" spans="1:2">
      <c r="A23" s="44"/>
      <c r="B23" s="46"/>
    </row>
    <row r="24" spans="1:2">
      <c r="A24" s="44"/>
      <c r="B24" s="46"/>
    </row>
    <row r="25" spans="1:2">
      <c r="A25" s="44"/>
      <c r="B25" s="46"/>
    </row>
    <row r="26" spans="1:2">
      <c r="A26" s="44"/>
      <c r="B26" s="46"/>
    </row>
    <row r="27" spans="1:2">
      <c r="A27" s="44"/>
      <c r="B27" s="46"/>
    </row>
    <row r="28" spans="1:2">
      <c r="A28" s="44"/>
      <c r="B28" s="46"/>
    </row>
    <row r="29" spans="1:2">
      <c r="A29" s="44"/>
      <c r="B29" s="46"/>
    </row>
    <row r="30" spans="1:2">
      <c r="A30" s="44"/>
      <c r="B30" s="46"/>
    </row>
    <row r="31" spans="1:2">
      <c r="A31" s="87"/>
      <c r="B31" s="46"/>
    </row>
    <row r="32" spans="1:2">
      <c r="A32" s="44"/>
      <c r="B32" s="46"/>
    </row>
    <row r="33" spans="1:2">
      <c r="A33" s="44"/>
      <c r="B33" s="46"/>
    </row>
    <row r="34" spans="1:2">
      <c r="A34" s="87"/>
      <c r="B34" s="46"/>
    </row>
    <row r="35" spans="1:2">
      <c r="A35" s="44"/>
      <c r="B35" s="46"/>
    </row>
    <row r="36" spans="1:2">
      <c r="A36" s="44"/>
      <c r="B36" s="46"/>
    </row>
    <row r="37" spans="1:2">
      <c r="A37" s="44"/>
      <c r="B37" s="46"/>
    </row>
    <row r="38" spans="1:2">
      <c r="A38" s="44"/>
      <c r="B38" s="46"/>
    </row>
    <row r="39" spans="1:2">
      <c r="A39" s="44"/>
      <c r="B39" s="46"/>
    </row>
    <row r="40" spans="1:2">
      <c r="A40" s="44"/>
      <c r="B40" s="46"/>
    </row>
    <row r="41" spans="1:2">
      <c r="A41" s="44"/>
      <c r="B41" s="46"/>
    </row>
    <row r="42" spans="1:2">
      <c r="A42" s="44"/>
      <c r="B42" s="46"/>
    </row>
    <row r="43" spans="1:2">
      <c r="A43" s="44"/>
      <c r="B43" s="46"/>
    </row>
    <row r="44" spans="1:2">
      <c r="A44" s="44"/>
      <c r="B44" s="46"/>
    </row>
    <row r="45" spans="1:2">
      <c r="A45" s="44"/>
      <c r="B45" s="46"/>
    </row>
    <row r="46" spans="1:2">
      <c r="A46" s="44"/>
      <c r="B46" s="46"/>
    </row>
    <row r="47" spans="1:2">
      <c r="A47" s="44"/>
      <c r="B47" s="46"/>
    </row>
    <row r="48" spans="1:2">
      <c r="A48" s="44"/>
      <c r="B48" s="46"/>
    </row>
    <row r="49" spans="1:2">
      <c r="A49" s="44"/>
      <c r="B49" s="46"/>
    </row>
    <row r="50" spans="1:2">
      <c r="A50" s="44"/>
      <c r="B50" s="46"/>
    </row>
    <row r="51" spans="1:2">
      <c r="A51" s="44"/>
      <c r="B51" s="46"/>
    </row>
    <row r="52" spans="1:2">
      <c r="A52" s="44"/>
      <c r="B52" s="46"/>
    </row>
    <row r="53" spans="1:2">
      <c r="A53" s="44"/>
      <c r="B53" s="46"/>
    </row>
    <row r="54" spans="1:2">
      <c r="A54" s="44"/>
      <c r="B54" s="46"/>
    </row>
    <row r="55" spans="1:2">
      <c r="A55" s="44"/>
      <c r="B55" s="46"/>
    </row>
    <row r="56" spans="1:2">
      <c r="A56" s="44"/>
      <c r="B56" s="46"/>
    </row>
    <row r="57" spans="1:2">
      <c r="A57" s="44"/>
      <c r="B57" s="46"/>
    </row>
    <row r="58" spans="1:2">
      <c r="A58" s="44"/>
      <c r="B58" s="46"/>
    </row>
    <row r="59" spans="1:2">
      <c r="A59" s="44"/>
      <c r="B59" s="46"/>
    </row>
    <row r="60" spans="1:2">
      <c r="A60" s="44"/>
      <c r="B60" s="46"/>
    </row>
    <row r="61" spans="1:2">
      <c r="A61" s="44"/>
      <c r="B61" s="46"/>
    </row>
    <row r="62" spans="1:2">
      <c r="A62" s="44"/>
      <c r="B62" s="46"/>
    </row>
    <row r="63" spans="1:2">
      <c r="A63" s="44"/>
      <c r="B63" s="46"/>
    </row>
    <row r="64" spans="1:2">
      <c r="A64" s="44"/>
      <c r="B64" s="46"/>
    </row>
    <row r="65" spans="1:2">
      <c r="A65" s="44"/>
      <c r="B65" s="46"/>
    </row>
    <row r="66" spans="1:2">
      <c r="A66" s="44"/>
      <c r="B66" s="46"/>
    </row>
    <row r="67" spans="1:2">
      <c r="A67" s="44"/>
      <c r="B67" s="46"/>
    </row>
    <row r="68" spans="1:2">
      <c r="A68" s="44"/>
      <c r="B68" s="46"/>
    </row>
    <row r="69" spans="1:2">
      <c r="A69" s="44"/>
      <c r="B69" s="46"/>
    </row>
    <row r="70" spans="1:2">
      <c r="A70" s="44"/>
      <c r="B70" s="46"/>
    </row>
    <row r="71" spans="1:2">
      <c r="A71" s="44"/>
      <c r="B71" s="46"/>
    </row>
    <row r="72" spans="1:2">
      <c r="A72" s="44"/>
      <c r="B72" s="46"/>
    </row>
    <row r="73" spans="1:2">
      <c r="A73" s="44"/>
      <c r="B73" s="46"/>
    </row>
    <row r="74" spans="1:2">
      <c r="A74" s="44"/>
      <c r="B74" s="46"/>
    </row>
    <row r="75" spans="1:2">
      <c r="A75" s="44"/>
      <c r="B75" s="46"/>
    </row>
    <row r="76" spans="1:2">
      <c r="A76" s="44"/>
      <c r="B76" s="46"/>
    </row>
    <row r="77" spans="1:2">
      <c r="A77" s="44"/>
      <c r="B77" s="46"/>
    </row>
    <row r="78" spans="1:2">
      <c r="A78" s="44"/>
      <c r="B78" s="46"/>
    </row>
    <row r="79" spans="1:2">
      <c r="A79" s="44"/>
      <c r="B79" s="46"/>
    </row>
    <row r="80" spans="1:2">
      <c r="A80" s="44"/>
      <c r="B80" s="46"/>
    </row>
    <row r="81" spans="1:2">
      <c r="A81" s="44"/>
      <c r="B81" s="46"/>
    </row>
    <row r="82" spans="1:2">
      <c r="A82" s="44"/>
      <c r="B82" s="46"/>
    </row>
    <row r="83" spans="1:2">
      <c r="A83" s="44"/>
      <c r="B83" s="46"/>
    </row>
    <row r="84" spans="1:2">
      <c r="A84" s="44"/>
      <c r="B84" s="46"/>
    </row>
    <row r="85" spans="1:2">
      <c r="A85" s="44"/>
      <c r="B85" s="46"/>
    </row>
    <row r="86" spans="1:2">
      <c r="A86" s="44"/>
      <c r="B86" s="46"/>
    </row>
    <row r="87" spans="1:2">
      <c r="A87" s="44"/>
      <c r="B87" s="46"/>
    </row>
    <row r="88" spans="1:2">
      <c r="A88" s="44"/>
      <c r="B88" s="46"/>
    </row>
    <row r="89" spans="1:2">
      <c r="A89" s="44"/>
      <c r="B89" s="46"/>
    </row>
    <row r="90" spans="1:2">
      <c r="A90" s="44"/>
      <c r="B90" s="46"/>
    </row>
    <row r="91" spans="1:2">
      <c r="A91" s="44"/>
      <c r="B91" s="46"/>
    </row>
    <row r="92" spans="1:2">
      <c r="A92" s="44"/>
      <c r="B92" s="46"/>
    </row>
    <row r="93" spans="1:2">
      <c r="A93" s="44"/>
      <c r="B93" s="46"/>
    </row>
    <row r="94" spans="1:2">
      <c r="A94" s="44"/>
      <c r="B94" s="46"/>
    </row>
    <row r="95" spans="1:2">
      <c r="A95" s="44"/>
      <c r="B95" s="46"/>
    </row>
    <row r="96" spans="1:2">
      <c r="A96" s="44"/>
      <c r="B96" s="46"/>
    </row>
    <row r="97" spans="1:2">
      <c r="A97" s="44"/>
      <c r="B97" s="46"/>
    </row>
    <row r="98" spans="1:2">
      <c r="A98" s="44"/>
      <c r="B98" s="46"/>
    </row>
    <row r="99" spans="1:2">
      <c r="A99" s="44"/>
      <c r="B99" s="46"/>
    </row>
    <row r="100" spans="1:2">
      <c r="A100" s="44"/>
      <c r="B100" s="46"/>
    </row>
    <row r="101" spans="1:2">
      <c r="A101" s="44"/>
      <c r="B101" s="46"/>
    </row>
    <row r="102" spans="1:2">
      <c r="A102" s="44"/>
      <c r="B102" s="46"/>
    </row>
    <row r="103" spans="1:2">
      <c r="A103" s="44"/>
      <c r="B103" s="46"/>
    </row>
    <row r="104" spans="1:2">
      <c r="A104" s="44"/>
      <c r="B104" s="46"/>
    </row>
    <row r="105" spans="1:2">
      <c r="A105" s="44"/>
      <c r="B105" s="46"/>
    </row>
    <row r="106" spans="1:2">
      <c r="A106" s="44"/>
      <c r="B106" s="46"/>
    </row>
    <row r="107" spans="1:2">
      <c r="A107" s="44"/>
      <c r="B107" s="46"/>
    </row>
    <row r="108" spans="1:2">
      <c r="A108" s="44"/>
      <c r="B108" s="46"/>
    </row>
    <row r="109" spans="1:2">
      <c r="A109" s="44"/>
      <c r="B109" s="46"/>
    </row>
    <row r="110" spans="1:2">
      <c r="A110" s="44"/>
      <c r="B110" s="46"/>
    </row>
    <row r="111" spans="1:2">
      <c r="A111" s="44"/>
      <c r="B111" s="46"/>
    </row>
    <row r="112" spans="1:2">
      <c r="A112" s="44"/>
      <c r="B112" s="46"/>
    </row>
    <row r="113" spans="1:2">
      <c r="A113" s="44"/>
      <c r="B113" s="46"/>
    </row>
    <row r="114" spans="1:2">
      <c r="A114" s="44"/>
      <c r="B114" s="46"/>
    </row>
    <row r="115" spans="1:2">
      <c r="A115" s="44"/>
      <c r="B115" s="46"/>
    </row>
    <row r="116" spans="1:2">
      <c r="A116" s="44"/>
      <c r="B116" s="46"/>
    </row>
    <row r="117" spans="1:2">
      <c r="A117" s="44"/>
      <c r="B117" s="46"/>
    </row>
    <row r="118" spans="1:2">
      <c r="A118" s="44"/>
      <c r="B118" s="46"/>
    </row>
    <row r="119" spans="1:2">
      <c r="A119" s="44"/>
      <c r="B119" s="46"/>
    </row>
    <row r="120" spans="1:2">
      <c r="A120" s="44"/>
      <c r="B120" s="46"/>
    </row>
    <row r="121" spans="1:2">
      <c r="A121" s="44"/>
      <c r="B121" s="46"/>
    </row>
    <row r="122" spans="1:2">
      <c r="A122" s="44"/>
      <c r="B122" s="46"/>
    </row>
    <row r="123" spans="1:2">
      <c r="A123" s="44"/>
      <c r="B123" s="46"/>
    </row>
    <row r="124" spans="1:2">
      <c r="A124" s="44"/>
      <c r="B124" s="46"/>
    </row>
    <row r="125" spans="1:2">
      <c r="A125" s="44"/>
      <c r="B125" s="46"/>
    </row>
    <row r="126" spans="1:2">
      <c r="A126" s="44"/>
      <c r="B126" s="46"/>
    </row>
    <row r="127" spans="1:2">
      <c r="A127" s="44"/>
      <c r="B127" s="46"/>
    </row>
    <row r="128" spans="1:2">
      <c r="A128" s="44"/>
      <c r="B128" s="46"/>
    </row>
    <row r="129" spans="1:2">
      <c r="A129" s="44"/>
      <c r="B129" s="46"/>
    </row>
    <row r="130" spans="1:2">
      <c r="A130" s="44"/>
      <c r="B130" s="46"/>
    </row>
    <row r="131" spans="1:2">
      <c r="A131" s="44"/>
      <c r="B131" s="46"/>
    </row>
    <row r="132" spans="1:2">
      <c r="A132" s="44"/>
      <c r="B132" s="46"/>
    </row>
    <row r="133" spans="1:2">
      <c r="A133" s="44"/>
      <c r="B133" s="46"/>
    </row>
    <row r="134" spans="1:2">
      <c r="A134" s="44"/>
      <c r="B134" s="46"/>
    </row>
    <row r="135" spans="1:2">
      <c r="A135" s="44"/>
      <c r="B135" s="46"/>
    </row>
    <row r="136" spans="1:2">
      <c r="A136" s="44"/>
      <c r="B136" s="46"/>
    </row>
    <row r="137" spans="1:2">
      <c r="A137" s="44"/>
      <c r="B137" s="46"/>
    </row>
    <row r="138" spans="1:2">
      <c r="A138" s="44"/>
      <c r="B138" s="46"/>
    </row>
    <row r="139" spans="1:2">
      <c r="A139" s="44"/>
      <c r="B139" s="46"/>
    </row>
    <row r="140" spans="1:2">
      <c r="A140" s="44"/>
      <c r="B140" s="46"/>
    </row>
    <row r="141" spans="1:2">
      <c r="A141" s="44"/>
      <c r="B141" s="46"/>
    </row>
    <row r="142" spans="1:2">
      <c r="A142" s="44"/>
      <c r="B142" s="46"/>
    </row>
    <row r="143" spans="1:2">
      <c r="A143" s="44"/>
      <c r="B143" s="46"/>
    </row>
    <row r="144" spans="1:2">
      <c r="A144" s="44"/>
      <c r="B144" s="46"/>
    </row>
    <row r="145" spans="1:2">
      <c r="A145" s="44"/>
      <c r="B145" s="46"/>
    </row>
    <row r="146" spans="1:2">
      <c r="A146" s="44"/>
      <c r="B146" s="46"/>
    </row>
    <row r="147" spans="1:2">
      <c r="A147" s="44"/>
      <c r="B147" s="46"/>
    </row>
    <row r="148" spans="1:2">
      <c r="A148" s="44"/>
      <c r="B148" s="46"/>
    </row>
    <row r="149" spans="1:2">
      <c r="A149" s="44"/>
      <c r="B149" s="46"/>
    </row>
    <row r="150" spans="1:2">
      <c r="A150" s="44"/>
      <c r="B150" s="46"/>
    </row>
    <row r="151" spans="1:2">
      <c r="A151" s="44"/>
      <c r="B151" s="46"/>
    </row>
    <row r="152" spans="1:2">
      <c r="A152" s="44"/>
      <c r="B152" s="46"/>
    </row>
    <row r="153" spans="1:2">
      <c r="A153" s="44"/>
      <c r="B153" s="46"/>
    </row>
    <row r="154" spans="1:2">
      <c r="A154" s="44"/>
      <c r="B154" s="46"/>
    </row>
    <row r="155" spans="1:2">
      <c r="A155" s="44"/>
      <c r="B155" s="46"/>
    </row>
    <row r="156" spans="1:2">
      <c r="A156" s="44"/>
      <c r="B156" s="46"/>
    </row>
    <row r="157" spans="1:2">
      <c r="A157" s="44"/>
      <c r="B157" s="46"/>
    </row>
    <row r="158" spans="1:2">
      <c r="A158" s="44"/>
      <c r="B158" s="46"/>
    </row>
    <row r="159" spans="1:2">
      <c r="A159" s="44"/>
      <c r="B159" s="46"/>
    </row>
    <row r="160" spans="1:2">
      <c r="A160" s="44"/>
      <c r="B160" s="46"/>
    </row>
    <row r="161" spans="1:2">
      <c r="A161" s="44"/>
      <c r="B161" s="46"/>
    </row>
    <row r="162" spans="1:2">
      <c r="A162" s="44"/>
      <c r="B162" s="46"/>
    </row>
    <row r="163" spans="1:2">
      <c r="A163" s="44"/>
      <c r="B163" s="46"/>
    </row>
    <row r="164" spans="1:2">
      <c r="A164" s="44"/>
      <c r="B164" s="46"/>
    </row>
    <row r="165" spans="1:2">
      <c r="A165" s="44"/>
      <c r="B165" s="46"/>
    </row>
    <row r="166" spans="1:2">
      <c r="A166" s="44"/>
      <c r="B166" s="46"/>
    </row>
    <row r="167" spans="1:2">
      <c r="A167" s="44"/>
      <c r="B167" s="46"/>
    </row>
    <row r="168" spans="1:2">
      <c r="A168" s="44"/>
      <c r="B168" s="46"/>
    </row>
    <row r="169" spans="1:2">
      <c r="A169" s="44"/>
      <c r="B169" s="46"/>
    </row>
    <row r="170" spans="1:2">
      <c r="A170" s="44"/>
      <c r="B170" s="46"/>
    </row>
    <row r="171" spans="1:2">
      <c r="A171" s="44"/>
      <c r="B171" s="46"/>
    </row>
    <row r="172" spans="1:2">
      <c r="A172" s="44"/>
      <c r="B172" s="46"/>
    </row>
    <row r="173" spans="1:2">
      <c r="A173" s="44"/>
      <c r="B173" s="46"/>
    </row>
    <row r="174" spans="1:2">
      <c r="A174" s="44"/>
      <c r="B174" s="46"/>
    </row>
    <row r="175" spans="1:2">
      <c r="A175" s="44"/>
      <c r="B175" s="46"/>
    </row>
    <row r="176" spans="1:2">
      <c r="A176" s="44"/>
      <c r="B176" s="46"/>
    </row>
    <row r="177" spans="1:2">
      <c r="A177" s="44"/>
      <c r="B177" s="46"/>
    </row>
    <row r="178" spans="1:2">
      <c r="A178" s="44"/>
      <c r="B178" s="46"/>
    </row>
    <row r="179" spans="1:2">
      <c r="A179" s="44"/>
      <c r="B179" s="46"/>
    </row>
    <row r="180" spans="1:2">
      <c r="A180" s="44"/>
      <c r="B180" s="46"/>
    </row>
    <row r="181" spans="1:2">
      <c r="A181" s="44"/>
      <c r="B181" s="46"/>
    </row>
    <row r="182" spans="1:2">
      <c r="A182" s="44"/>
      <c r="B182" s="46"/>
    </row>
    <row r="183" spans="1:2">
      <c r="A183" s="44"/>
      <c r="B183" s="46"/>
    </row>
    <row r="184" spans="1:2">
      <c r="A184" s="44"/>
      <c r="B184" s="46"/>
    </row>
    <row r="185" spans="1:2">
      <c r="A185" s="44"/>
      <c r="B185" s="46"/>
    </row>
    <row r="186" spans="1:2">
      <c r="A186" s="44"/>
      <c r="B186" s="46"/>
    </row>
    <row r="187" spans="1:2">
      <c r="A187" s="44"/>
      <c r="B187" s="46"/>
    </row>
    <row r="188" spans="1:2">
      <c r="A188" s="44"/>
      <c r="B188" s="46"/>
    </row>
    <row r="189" spans="1:2">
      <c r="A189" s="44"/>
      <c r="B189" s="46"/>
    </row>
    <row r="190" spans="1:2">
      <c r="A190" s="44"/>
      <c r="B190" s="46"/>
    </row>
    <row r="191" spans="1:2">
      <c r="A191" s="44"/>
      <c r="B191" s="46"/>
    </row>
    <row r="192" spans="1:2">
      <c r="A192" s="44"/>
      <c r="B192" s="46"/>
    </row>
    <row r="193" spans="1:2">
      <c r="A193" s="44"/>
      <c r="B193" s="46"/>
    </row>
    <row r="194" spans="1:2">
      <c r="A194" s="44"/>
      <c r="B194" s="46"/>
    </row>
    <row r="195" spans="1:2">
      <c r="A195" s="44"/>
      <c r="B195" s="46"/>
    </row>
    <row r="196" spans="1:2">
      <c r="A196" s="44"/>
      <c r="B196" s="46"/>
    </row>
    <row r="197" spans="1:2">
      <c r="A197" s="44"/>
      <c r="B197" s="46"/>
    </row>
    <row r="198" spans="1:2">
      <c r="A198" s="44"/>
      <c r="B198" s="46"/>
    </row>
    <row r="199" spans="1:2">
      <c r="A199" s="44"/>
      <c r="B199" s="46"/>
    </row>
    <row r="200" spans="1:2">
      <c r="A200" s="44"/>
      <c r="B200" s="46"/>
    </row>
    <row r="201" spans="1:2">
      <c r="A201" s="44"/>
      <c r="B201" s="46"/>
    </row>
    <row r="202" spans="1:2">
      <c r="A202" s="44"/>
      <c r="B202" s="46"/>
    </row>
    <row r="203" spans="1:2">
      <c r="A203" s="44"/>
      <c r="B203" s="46"/>
    </row>
    <row r="204" spans="1:2">
      <c r="A204" s="44"/>
      <c r="B204" s="46"/>
    </row>
    <row r="205" spans="1:2">
      <c r="A205" s="44"/>
      <c r="B205" s="46"/>
    </row>
    <row r="206" spans="1:2">
      <c r="A206" s="44"/>
      <c r="B206" s="46"/>
    </row>
    <row r="207" spans="1:2">
      <c r="A207" s="44"/>
      <c r="B207" s="46"/>
    </row>
    <row r="208" spans="1:2">
      <c r="A208" s="44"/>
      <c r="B208" s="46"/>
    </row>
    <row r="209" spans="1:2">
      <c r="A209" s="44"/>
      <c r="B209" s="46"/>
    </row>
    <row r="210" spans="1:2">
      <c r="A210" s="44"/>
      <c r="B210" s="46"/>
    </row>
    <row r="211" spans="1:2">
      <c r="A211" s="44"/>
      <c r="B211" s="46"/>
    </row>
    <row r="212" spans="1:2">
      <c r="A212" s="44"/>
      <c r="B212" s="46"/>
    </row>
    <row r="213" spans="1:2">
      <c r="A213" s="44"/>
      <c r="B213" s="46"/>
    </row>
    <row r="214" spans="1:2">
      <c r="A214" s="44"/>
      <c r="B214" s="46"/>
    </row>
    <row r="215" spans="1:2">
      <c r="A215" s="44"/>
      <c r="B215" s="46"/>
    </row>
    <row r="216" spans="1:2">
      <c r="A216" s="44"/>
      <c r="B216" s="46"/>
    </row>
    <row r="217" spans="1:2">
      <c r="A217" s="44"/>
      <c r="B217" s="46"/>
    </row>
    <row r="218" spans="1:2">
      <c r="A218" s="44"/>
      <c r="B218" s="46"/>
    </row>
    <row r="219" spans="1:2">
      <c r="A219" s="44"/>
      <c r="B219" s="46"/>
    </row>
    <row r="220" spans="1:2">
      <c r="A220" s="44"/>
      <c r="B220" s="46"/>
    </row>
    <row r="221" spans="1:2">
      <c r="A221" s="44"/>
      <c r="B221" s="46"/>
    </row>
    <row r="222" spans="1:2">
      <c r="A222" s="44"/>
      <c r="B222" s="46"/>
    </row>
    <row r="223" spans="1:2">
      <c r="A223" s="44"/>
      <c r="B223" s="46"/>
    </row>
    <row r="224" spans="1:2">
      <c r="A224" s="44"/>
      <c r="B224" s="46"/>
    </row>
    <row r="225" spans="1:2">
      <c r="A225" s="44"/>
      <c r="B225" s="46"/>
    </row>
    <row r="226" spans="1:2">
      <c r="A226" s="44"/>
      <c r="B226" s="46"/>
    </row>
    <row r="227" spans="1:2">
      <c r="A227" s="44"/>
      <c r="B227" s="46"/>
    </row>
    <row r="228" spans="1:2">
      <c r="A228" s="44"/>
      <c r="B228" s="46"/>
    </row>
    <row r="229" spans="1:2">
      <c r="A229" s="44"/>
      <c r="B229" s="46"/>
    </row>
    <row r="230" spans="1:2">
      <c r="A230" s="44"/>
      <c r="B230" s="46"/>
    </row>
    <row r="231" spans="1:2">
      <c r="A231" s="44"/>
      <c r="B231" s="46"/>
    </row>
    <row r="232" spans="1:2">
      <c r="A232" s="44"/>
      <c r="B232" s="46"/>
    </row>
    <row r="233" spans="1:2">
      <c r="A233" s="44"/>
      <c r="B233" s="46"/>
    </row>
    <row r="234" spans="1:2">
      <c r="A234" s="44"/>
      <c r="B234" s="46"/>
    </row>
    <row r="235" spans="1:2">
      <c r="A235" s="44"/>
      <c r="B235" s="46"/>
    </row>
    <row r="236" spans="1:2">
      <c r="A236" s="44"/>
      <c r="B236" s="46"/>
    </row>
    <row r="237" spans="1:2">
      <c r="A237" s="44"/>
      <c r="B237" s="46"/>
    </row>
    <row r="238" spans="1:2">
      <c r="A238" s="44"/>
      <c r="B238" s="46"/>
    </row>
    <row r="239" spans="1:2">
      <c r="A239" s="44"/>
      <c r="B239" s="46"/>
    </row>
    <row r="240" spans="1:2">
      <c r="A240" s="44"/>
      <c r="B240" s="46"/>
    </row>
    <row r="241" spans="1:2">
      <c r="A241" s="44"/>
      <c r="B241" s="46"/>
    </row>
    <row r="242" spans="1:2">
      <c r="A242" s="44"/>
      <c r="B242" s="46"/>
    </row>
    <row r="243" spans="1:2">
      <c r="A243" s="44"/>
      <c r="B243" s="46"/>
    </row>
    <row r="244" spans="1:2">
      <c r="A244" s="44"/>
      <c r="B244" s="46"/>
    </row>
    <row r="245" spans="1:2">
      <c r="A245" s="44"/>
      <c r="B245" s="46"/>
    </row>
    <row r="246" spans="1:2">
      <c r="A246" s="44"/>
      <c r="B246" s="46"/>
    </row>
    <row r="247" spans="1:2">
      <c r="A247" s="44"/>
      <c r="B247" s="46"/>
    </row>
    <row r="248" spans="1:2">
      <c r="A248" s="44"/>
      <c r="B248" s="46"/>
    </row>
    <row r="249" spans="1:2">
      <c r="A249" s="44"/>
      <c r="B249" s="46"/>
    </row>
    <row r="250" spans="1:2">
      <c r="A250" s="44"/>
      <c r="B250" s="46"/>
    </row>
    <row r="251" spans="1:2">
      <c r="A251" s="44"/>
      <c r="B251" s="46"/>
    </row>
    <row r="252" spans="1:2">
      <c r="A252" s="44"/>
      <c r="B252" s="46"/>
    </row>
    <row r="253" spans="1:2">
      <c r="A253" s="44"/>
      <c r="B253" s="46"/>
    </row>
    <row r="254" spans="1:2">
      <c r="A254" s="44"/>
      <c r="B254" s="46"/>
    </row>
    <row r="255" spans="1:2">
      <c r="A255" s="44"/>
      <c r="B255" s="46"/>
    </row>
    <row r="256" spans="1:2">
      <c r="A256" s="44"/>
      <c r="B256" s="46"/>
    </row>
    <row r="257" spans="1:2">
      <c r="A257" s="44"/>
      <c r="B257" s="46"/>
    </row>
    <row r="258" spans="1:2">
      <c r="A258" s="44"/>
      <c r="B258" s="46"/>
    </row>
    <row r="259" spans="1:2">
      <c r="A259" s="44"/>
      <c r="B259" s="46"/>
    </row>
    <row r="260" spans="1:2">
      <c r="A260" s="44"/>
      <c r="B260" s="46"/>
    </row>
    <row r="261" spans="1:2">
      <c r="A261" s="44"/>
      <c r="B261" s="46"/>
    </row>
    <row r="262" spans="1:2">
      <c r="A262" s="44"/>
      <c r="B262" s="46"/>
    </row>
    <row r="263" spans="1:2">
      <c r="A263" s="44"/>
      <c r="B263" s="46"/>
    </row>
    <row r="264" spans="1:2">
      <c r="A264" s="44"/>
      <c r="B264" s="46"/>
    </row>
    <row r="265" spans="1:2">
      <c r="A265" s="44"/>
      <c r="B265" s="46"/>
    </row>
    <row r="266" spans="1:2">
      <c r="A266" s="44"/>
      <c r="B266" s="46"/>
    </row>
    <row r="267" spans="1:2">
      <c r="A267" s="44"/>
      <c r="B267" s="46"/>
    </row>
    <row r="268" spans="1:2">
      <c r="A268" s="44"/>
      <c r="B268" s="46"/>
    </row>
    <row r="269" spans="1:2">
      <c r="A269" s="44"/>
      <c r="B269" s="46"/>
    </row>
    <row r="270" spans="1:2">
      <c r="A270" s="44"/>
      <c r="B270" s="46"/>
    </row>
    <row r="271" spans="1:2">
      <c r="A271" s="44"/>
      <c r="B271" s="46"/>
    </row>
    <row r="272" spans="1:2">
      <c r="A272" s="44"/>
      <c r="B272" s="46"/>
    </row>
    <row r="273" spans="1:2">
      <c r="A273" s="44"/>
      <c r="B273" s="46"/>
    </row>
    <row r="274" spans="1:2">
      <c r="A274" s="44"/>
      <c r="B274" s="46"/>
    </row>
    <row r="275" spans="1:2">
      <c r="A275" s="44"/>
      <c r="B275" s="46"/>
    </row>
    <row r="276" spans="1:2">
      <c r="A276" s="44"/>
      <c r="B276" s="46"/>
    </row>
    <row r="277" spans="1:2">
      <c r="A277" s="44"/>
      <c r="B277" s="46"/>
    </row>
    <row r="278" spans="1:2">
      <c r="A278" s="44"/>
      <c r="B278" s="46"/>
    </row>
    <row r="279" spans="1:2">
      <c r="A279" s="44"/>
      <c r="B279" s="46"/>
    </row>
    <row r="280" spans="1:2">
      <c r="A280" s="44"/>
      <c r="B280" s="46"/>
    </row>
    <row r="281" spans="1:2">
      <c r="A281" s="44"/>
      <c r="B281" s="46"/>
    </row>
    <row r="282" spans="1:2">
      <c r="A282" s="44"/>
      <c r="B282" s="46"/>
    </row>
    <row r="283" spans="1:2">
      <c r="A283" s="44"/>
      <c r="B283" s="46"/>
    </row>
    <row r="284" spans="1:2">
      <c r="A284" s="44"/>
      <c r="B284" s="46"/>
    </row>
    <row r="285" spans="1:2">
      <c r="A285" s="44"/>
      <c r="B285" s="46"/>
    </row>
    <row r="286" spans="1:2">
      <c r="A286" s="44"/>
      <c r="B286" s="46"/>
    </row>
    <row r="287" spans="1:2">
      <c r="A287" s="44"/>
      <c r="B287" s="46"/>
    </row>
    <row r="288" spans="1:2">
      <c r="A288" s="44"/>
      <c r="B288" s="46"/>
    </row>
    <row r="289" spans="1:2">
      <c r="A289" s="44"/>
      <c r="B289" s="46"/>
    </row>
    <row r="290" spans="1:2">
      <c r="A290" s="44"/>
      <c r="B290" s="46"/>
    </row>
    <row r="291" spans="1:2">
      <c r="A291" s="44"/>
      <c r="B291" s="46"/>
    </row>
    <row r="292" spans="1:2">
      <c r="A292" s="44"/>
      <c r="B292" s="46"/>
    </row>
    <row r="293" spans="1:2">
      <c r="A293" s="44"/>
      <c r="B293" s="46"/>
    </row>
    <row r="294" spans="1:2">
      <c r="A294" s="44"/>
      <c r="B294" s="46"/>
    </row>
    <row r="295" spans="1:2">
      <c r="A295" s="44"/>
      <c r="B295" s="46"/>
    </row>
    <row r="296" spans="1:2">
      <c r="A296" s="44"/>
      <c r="B296" s="46"/>
    </row>
    <row r="297" spans="1:2">
      <c r="A297" s="44"/>
      <c r="B297" s="46"/>
    </row>
    <row r="298" spans="1:2">
      <c r="A298" s="44"/>
      <c r="B298" s="46"/>
    </row>
    <row r="299" spans="1:2">
      <c r="A299" s="44"/>
      <c r="B299" s="46"/>
    </row>
    <row r="300" spans="1:2">
      <c r="A300" s="44"/>
      <c r="B300" s="46"/>
    </row>
    <row r="301" spans="1:2">
      <c r="A301" s="44"/>
      <c r="B301" s="46"/>
    </row>
    <row r="302" spans="1:2">
      <c r="A302" s="48"/>
      <c r="B302" s="46"/>
    </row>
  </sheetData>
  <mergeCells count="1">
    <mergeCell ref="A1:B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Not Valid" error="Please use the dropdown menu for your entry!" xr:uid="{6D33F1DA-726B-47DF-9C6A-2BA17085CB2F}">
          <x14:formula1>
            <xm:f>'DropDown Lists'!$D$2:$D$3</xm:f>
          </x14:formula1>
          <xm:sqref>B3:B302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J302"/>
  <sheetViews>
    <sheetView zoomScale="115" zoomScaleNormal="115" workbookViewId="0">
      <selection activeCell="B14" sqref="B14"/>
    </sheetView>
  </sheetViews>
  <sheetFormatPr defaultColWidth="18" defaultRowHeight="15"/>
  <cols>
    <col min="1" max="1" width="19" bestFit="1" customWidth="1"/>
    <col min="2" max="2" width="16" customWidth="1"/>
    <col min="3" max="3" width="5.28515625" customWidth="1"/>
    <col min="4" max="4" width="9" customWidth="1"/>
    <col min="5" max="5" width="11.140625" customWidth="1"/>
    <col min="6" max="6" width="20.7109375" bestFit="1" customWidth="1"/>
    <col min="7" max="7" width="21.7109375" bestFit="1" customWidth="1"/>
    <col min="8" max="8" width="14.7109375" customWidth="1"/>
    <col min="9" max="9" width="27.140625" customWidth="1"/>
    <col min="10" max="10" width="19.140625" customWidth="1"/>
  </cols>
  <sheetData>
    <row r="1" spans="1:10">
      <c r="A1" s="215" t="s">
        <v>4</v>
      </c>
      <c r="B1" s="215"/>
      <c r="C1" s="215"/>
      <c r="D1" s="215"/>
      <c r="E1" s="215"/>
      <c r="F1" s="215"/>
      <c r="G1" s="215"/>
      <c r="H1" s="215"/>
      <c r="I1" s="215"/>
      <c r="J1" s="215"/>
    </row>
    <row r="2" spans="1:10" ht="30">
      <c r="A2" s="8" t="s">
        <v>1</v>
      </c>
      <c r="B2" s="9" t="s">
        <v>5</v>
      </c>
      <c r="C2" s="9" t="s">
        <v>6</v>
      </c>
      <c r="D2" s="9" t="s">
        <v>7</v>
      </c>
      <c r="E2" s="9" t="s">
        <v>8</v>
      </c>
      <c r="F2" s="10" t="s">
        <v>9</v>
      </c>
      <c r="G2" s="10" t="s">
        <v>10</v>
      </c>
      <c r="H2" s="10" t="s">
        <v>11</v>
      </c>
      <c r="I2" s="9" t="s">
        <v>12</v>
      </c>
      <c r="J2" s="9" t="s">
        <v>13</v>
      </c>
    </row>
    <row r="3" spans="1:10">
      <c r="A3" s="85" t="str">
        <f>IF(Referral!B3="Yes", Referral!A3, IF(Referral!B3="No", "Screening Needed", ""))</f>
        <v/>
      </c>
      <c r="B3" s="49"/>
      <c r="C3" s="50"/>
      <c r="D3" s="45"/>
      <c r="E3" s="45"/>
      <c r="F3" s="51"/>
      <c r="G3" s="51"/>
      <c r="H3" s="51">
        <v>0</v>
      </c>
      <c r="I3" s="51">
        <v>0</v>
      </c>
      <c r="J3" s="51">
        <v>0</v>
      </c>
    </row>
    <row r="4" spans="1:10">
      <c r="A4" s="85" t="str">
        <f>IF(Referral!B4="Yes", Referral!A4, IF(Referral!B4="No", "Screening Needed", ""))</f>
        <v/>
      </c>
      <c r="B4" s="49"/>
      <c r="C4" s="50"/>
      <c r="D4" s="45"/>
      <c r="E4" s="45"/>
      <c r="F4" s="51"/>
      <c r="G4" s="51"/>
      <c r="H4" s="51">
        <v>0</v>
      </c>
      <c r="I4" s="51">
        <v>0</v>
      </c>
      <c r="J4" s="51">
        <v>0</v>
      </c>
    </row>
    <row r="5" spans="1:10">
      <c r="A5" s="85" t="str">
        <f>IF(Referral!B5="Yes", Referral!A5, IF(Referral!B5="No", "Screening Needed", ""))</f>
        <v/>
      </c>
      <c r="B5" s="49"/>
      <c r="C5" s="50"/>
      <c r="D5" s="45"/>
      <c r="E5" s="45"/>
      <c r="F5" s="51"/>
      <c r="G5" s="51"/>
      <c r="H5" s="51">
        <v>0</v>
      </c>
      <c r="I5" s="51">
        <v>0</v>
      </c>
      <c r="J5" s="51">
        <v>0</v>
      </c>
    </row>
    <row r="6" spans="1:10">
      <c r="A6" s="85" t="str">
        <f>IF(Referral!B6="Yes", Referral!A6, IF(Referral!B6="No", "Screening Needed", ""))</f>
        <v/>
      </c>
      <c r="B6" s="49"/>
      <c r="C6" s="50"/>
      <c r="D6" s="45"/>
      <c r="E6" s="45"/>
      <c r="F6" s="51"/>
      <c r="G6" s="51"/>
      <c r="H6" s="51">
        <v>0</v>
      </c>
      <c r="I6" s="51">
        <v>0</v>
      </c>
      <c r="J6" s="51">
        <v>0</v>
      </c>
    </row>
    <row r="7" spans="1:10">
      <c r="A7" s="85" t="str">
        <f>IF(Referral!B7="Yes", Referral!A7, IF(Referral!B7="No", "Screening Needed", ""))</f>
        <v/>
      </c>
      <c r="B7" s="49"/>
      <c r="C7" s="50"/>
      <c r="D7" s="45"/>
      <c r="E7" s="45"/>
      <c r="F7" s="51"/>
      <c r="G7" s="51"/>
      <c r="H7" s="51">
        <v>0</v>
      </c>
      <c r="I7" s="51">
        <v>0</v>
      </c>
      <c r="J7" s="51">
        <v>0</v>
      </c>
    </row>
    <row r="8" spans="1:10">
      <c r="A8" s="85" t="str">
        <f>IF(Referral!B8="Yes", Referral!A8, IF(Referral!B8="No", "Screening Needed", ""))</f>
        <v/>
      </c>
      <c r="B8" s="49"/>
      <c r="C8" s="50"/>
      <c r="D8" s="45"/>
      <c r="E8" s="45"/>
      <c r="F8" s="51"/>
      <c r="G8" s="51"/>
      <c r="H8" s="51">
        <v>0</v>
      </c>
      <c r="I8" s="51">
        <v>0</v>
      </c>
      <c r="J8" s="51">
        <v>0</v>
      </c>
    </row>
    <row r="9" spans="1:10">
      <c r="A9" s="85" t="str">
        <f>IF(Referral!B9="Yes", Referral!A9, IF(Referral!B9="No", "Screening Needed", ""))</f>
        <v/>
      </c>
      <c r="B9" s="49"/>
      <c r="C9" s="50"/>
      <c r="D9" s="45"/>
      <c r="E9" s="45"/>
      <c r="F9" s="51"/>
      <c r="G9" s="51"/>
      <c r="H9" s="51">
        <v>0</v>
      </c>
      <c r="I9" s="51">
        <v>0</v>
      </c>
      <c r="J9" s="51">
        <v>0</v>
      </c>
    </row>
    <row r="10" spans="1:10">
      <c r="A10" s="85" t="str">
        <f>IF(Referral!B10="Yes", Referral!A10, IF(Referral!B10="No", "Screening Needed", ""))</f>
        <v/>
      </c>
      <c r="B10" s="49"/>
      <c r="C10" s="50"/>
      <c r="D10" s="45"/>
      <c r="E10" s="45"/>
      <c r="F10" s="51"/>
      <c r="G10" s="51"/>
      <c r="H10" s="51">
        <v>0</v>
      </c>
      <c r="I10" s="51">
        <v>0</v>
      </c>
      <c r="J10" s="51">
        <v>0</v>
      </c>
    </row>
    <row r="11" spans="1:10">
      <c r="A11" s="85" t="str">
        <f>IF(Referral!B11="Yes", Referral!A11, IF(Referral!B11="No", "Screening Needed", ""))</f>
        <v/>
      </c>
      <c r="B11" s="49"/>
      <c r="C11" s="50"/>
      <c r="D11" s="45"/>
      <c r="E11" s="45"/>
      <c r="F11" s="51"/>
      <c r="G11" s="51"/>
      <c r="H11" s="51">
        <v>0</v>
      </c>
      <c r="I11" s="51">
        <v>0</v>
      </c>
      <c r="J11" s="51">
        <v>0</v>
      </c>
    </row>
    <row r="12" spans="1:10">
      <c r="A12" s="85" t="str">
        <f>IF(Referral!B12="Yes", Referral!A12, IF(Referral!B12="No", "Screening Needed", ""))</f>
        <v/>
      </c>
      <c r="B12" s="49"/>
      <c r="C12" s="50"/>
      <c r="D12" s="45"/>
      <c r="E12" s="45"/>
      <c r="F12" s="51"/>
      <c r="G12" s="51"/>
      <c r="H12" s="51">
        <v>0</v>
      </c>
      <c r="I12" s="51">
        <v>0</v>
      </c>
      <c r="J12" s="51">
        <v>0</v>
      </c>
    </row>
    <row r="13" spans="1:10">
      <c r="A13" s="85" t="str">
        <f>IF(Referral!B13="Yes", Referral!A13, IF(Referral!B13="No", "Screening Needed", ""))</f>
        <v/>
      </c>
      <c r="B13" s="49"/>
      <c r="C13" s="50"/>
      <c r="D13" s="45"/>
      <c r="E13" s="45"/>
      <c r="F13" s="51"/>
      <c r="G13" s="51"/>
      <c r="H13" s="51">
        <v>0</v>
      </c>
      <c r="I13" s="51">
        <v>0</v>
      </c>
      <c r="J13" s="51">
        <v>0</v>
      </c>
    </row>
    <row r="14" spans="1:10">
      <c r="A14" s="85" t="str">
        <f>IF(Referral!B14="Yes", Referral!A14, IF(Referral!B14="No", "Screening Needed", ""))</f>
        <v/>
      </c>
      <c r="B14" s="49"/>
      <c r="C14" s="50"/>
      <c r="D14" s="45"/>
      <c r="E14" s="45"/>
      <c r="F14" s="51"/>
      <c r="G14" s="51"/>
      <c r="H14" s="51">
        <v>0</v>
      </c>
      <c r="I14" s="51">
        <v>0</v>
      </c>
      <c r="J14" s="51">
        <v>0</v>
      </c>
    </row>
    <row r="15" spans="1:10">
      <c r="A15" s="85" t="str">
        <f>IF(Referral!B15="Yes", Referral!A15, IF(Referral!B15="No", "Screening Needed", ""))</f>
        <v/>
      </c>
      <c r="B15" s="49"/>
      <c r="C15" s="50"/>
      <c r="D15" s="45"/>
      <c r="E15" s="45"/>
      <c r="F15" s="51"/>
      <c r="G15" s="51"/>
      <c r="H15" s="51">
        <v>0</v>
      </c>
      <c r="I15" s="51">
        <v>0</v>
      </c>
      <c r="J15" s="51">
        <v>0</v>
      </c>
    </row>
    <row r="16" spans="1:10">
      <c r="A16" s="85" t="str">
        <f>IF(Referral!B16="Yes", Referral!A16, IF(Referral!B16="No", "Screening Needed", ""))</f>
        <v/>
      </c>
      <c r="B16" s="49"/>
      <c r="C16" s="50"/>
      <c r="D16" s="45"/>
      <c r="E16" s="45"/>
      <c r="F16" s="51"/>
      <c r="G16" s="51"/>
      <c r="H16" s="51">
        <v>0</v>
      </c>
      <c r="I16" s="51">
        <v>0</v>
      </c>
      <c r="J16" s="51">
        <v>0</v>
      </c>
    </row>
    <row r="17" spans="1:10">
      <c r="A17" s="85" t="str">
        <f>IF(Referral!B17="Yes", Referral!A17, IF(Referral!B17="No", "Screening Needed", ""))</f>
        <v/>
      </c>
      <c r="B17" s="49"/>
      <c r="C17" s="50"/>
      <c r="D17" s="45"/>
      <c r="E17" s="45"/>
      <c r="F17" s="51"/>
      <c r="G17" s="51"/>
      <c r="H17" s="51">
        <v>0</v>
      </c>
      <c r="I17" s="51">
        <v>0</v>
      </c>
      <c r="J17" s="51">
        <v>0</v>
      </c>
    </row>
    <row r="18" spans="1:10">
      <c r="A18" s="85" t="str">
        <f>IF(Referral!B18="Yes", Referral!A18, IF(Referral!B18="No", "Screening Needed", ""))</f>
        <v/>
      </c>
      <c r="B18" s="49"/>
      <c r="C18" s="50"/>
      <c r="D18" s="45"/>
      <c r="E18" s="45"/>
      <c r="F18" s="51"/>
      <c r="G18" s="51"/>
      <c r="H18" s="51">
        <v>0</v>
      </c>
      <c r="I18" s="51">
        <v>0</v>
      </c>
      <c r="J18" s="51">
        <v>0</v>
      </c>
    </row>
    <row r="19" spans="1:10">
      <c r="A19" s="85" t="str">
        <f>IF(Referral!B19="Yes", Referral!A19, IF(Referral!B19="No", "Screening Needed", ""))</f>
        <v/>
      </c>
      <c r="B19" s="49"/>
      <c r="C19" s="50"/>
      <c r="D19" s="45"/>
      <c r="E19" s="45"/>
      <c r="F19" s="51"/>
      <c r="G19" s="51"/>
      <c r="H19" s="51">
        <v>0</v>
      </c>
      <c r="I19" s="51">
        <v>0</v>
      </c>
      <c r="J19" s="51">
        <v>0</v>
      </c>
    </row>
    <row r="20" spans="1:10">
      <c r="A20" s="85" t="str">
        <f>IF(Referral!B20="Yes", Referral!A20, IF(Referral!B20="No", "Screening Needed", ""))</f>
        <v/>
      </c>
      <c r="B20" s="49"/>
      <c r="C20" s="50"/>
      <c r="D20" s="45"/>
      <c r="E20" s="45"/>
      <c r="F20" s="51"/>
      <c r="G20" s="51"/>
      <c r="H20" s="51">
        <v>0</v>
      </c>
      <c r="I20" s="51">
        <v>0</v>
      </c>
      <c r="J20" s="51">
        <v>0</v>
      </c>
    </row>
    <row r="21" spans="1:10">
      <c r="A21" s="85" t="str">
        <f>IF(Referral!B21="Yes", Referral!A21, IF(Referral!B21="No", "Screening Needed", ""))</f>
        <v/>
      </c>
      <c r="B21" s="49"/>
      <c r="C21" s="50"/>
      <c r="D21" s="45"/>
      <c r="E21" s="45"/>
      <c r="F21" s="51"/>
      <c r="G21" s="51"/>
      <c r="H21" s="51">
        <v>0</v>
      </c>
      <c r="I21" s="51">
        <v>0</v>
      </c>
      <c r="J21" s="51">
        <v>0</v>
      </c>
    </row>
    <row r="22" spans="1:10">
      <c r="A22" s="85" t="str">
        <f>IF(Referral!B22="Yes", Referral!A22, IF(Referral!B22="No", "Screening Needed", ""))</f>
        <v/>
      </c>
      <c r="B22" s="49"/>
      <c r="C22" s="50"/>
      <c r="D22" s="45"/>
      <c r="E22" s="45"/>
      <c r="F22" s="51"/>
      <c r="G22" s="51"/>
      <c r="H22" s="51">
        <v>0</v>
      </c>
      <c r="I22" s="51">
        <v>0</v>
      </c>
      <c r="J22" s="51">
        <v>0</v>
      </c>
    </row>
    <row r="23" spans="1:10">
      <c r="A23" s="85" t="str">
        <f>IF(Referral!B23="Yes", Referral!A23, IF(Referral!B23="No", "Screening Needed", ""))</f>
        <v/>
      </c>
      <c r="B23" s="49"/>
      <c r="C23" s="50"/>
      <c r="D23" s="45"/>
      <c r="E23" s="45"/>
      <c r="F23" s="51"/>
      <c r="G23" s="51"/>
      <c r="H23" s="51">
        <v>0</v>
      </c>
      <c r="I23" s="51">
        <v>0</v>
      </c>
      <c r="J23" s="51">
        <v>0</v>
      </c>
    </row>
    <row r="24" spans="1:10">
      <c r="A24" s="85" t="str">
        <f>IF(Referral!B24="Yes", Referral!A24, IF(Referral!B24="No", "Screening Needed", ""))</f>
        <v/>
      </c>
      <c r="B24" s="49"/>
      <c r="C24" s="50"/>
      <c r="D24" s="45"/>
      <c r="E24" s="45"/>
      <c r="F24" s="51"/>
      <c r="G24" s="51"/>
      <c r="H24" s="51">
        <v>0</v>
      </c>
      <c r="I24" s="51">
        <v>0</v>
      </c>
      <c r="J24" s="51">
        <v>0</v>
      </c>
    </row>
    <row r="25" spans="1:10">
      <c r="A25" s="85" t="str">
        <f>IF(Referral!B25="Yes", Referral!A25, IF(Referral!B25="No", "Screening Needed", ""))</f>
        <v/>
      </c>
      <c r="B25" s="49"/>
      <c r="C25" s="50"/>
      <c r="D25" s="45"/>
      <c r="E25" s="45"/>
      <c r="F25" s="51"/>
      <c r="G25" s="51"/>
      <c r="H25" s="51">
        <v>0</v>
      </c>
      <c r="I25" s="51">
        <v>0</v>
      </c>
      <c r="J25" s="51">
        <v>0</v>
      </c>
    </row>
    <row r="26" spans="1:10">
      <c r="A26" s="85" t="str">
        <f>IF(Referral!B26="Yes", Referral!A26, IF(Referral!B26="No", "Screening Needed", ""))</f>
        <v/>
      </c>
      <c r="B26" s="49"/>
      <c r="C26" s="50"/>
      <c r="D26" s="45"/>
      <c r="E26" s="45"/>
      <c r="F26" s="51"/>
      <c r="G26" s="51"/>
      <c r="H26" s="51">
        <v>0</v>
      </c>
      <c r="I26" s="51">
        <v>0</v>
      </c>
      <c r="J26" s="51">
        <v>0</v>
      </c>
    </row>
    <row r="27" spans="1:10">
      <c r="A27" s="85" t="str">
        <f>IF(Referral!B27="Yes", Referral!A27, IF(Referral!B27="No", "Screening Needed", ""))</f>
        <v/>
      </c>
      <c r="B27" s="49"/>
      <c r="C27" s="50"/>
      <c r="D27" s="45"/>
      <c r="E27" s="45"/>
      <c r="F27" s="51"/>
      <c r="G27" s="51"/>
      <c r="H27" s="51">
        <v>0</v>
      </c>
      <c r="I27" s="51">
        <v>0</v>
      </c>
      <c r="J27" s="51">
        <v>0</v>
      </c>
    </row>
    <row r="28" spans="1:10">
      <c r="A28" s="85" t="str">
        <f>IF(Referral!B28="Yes", Referral!A28, IF(Referral!B28="No", "Screening Needed", ""))</f>
        <v/>
      </c>
      <c r="B28" s="49"/>
      <c r="C28" s="50"/>
      <c r="D28" s="45"/>
      <c r="E28" s="45"/>
      <c r="F28" s="51"/>
      <c r="G28" s="51"/>
      <c r="H28" s="51">
        <v>0</v>
      </c>
      <c r="I28" s="51">
        <v>0</v>
      </c>
      <c r="J28" s="51">
        <v>0</v>
      </c>
    </row>
    <row r="29" spans="1:10">
      <c r="A29" s="85" t="str">
        <f>IF(Referral!B29="Yes", Referral!A29, IF(Referral!B29="No", "Screening Needed", ""))</f>
        <v/>
      </c>
      <c r="B29" s="49"/>
      <c r="C29" s="50"/>
      <c r="D29" s="45"/>
      <c r="E29" s="45"/>
      <c r="F29" s="51"/>
      <c r="G29" s="51"/>
      <c r="H29" s="51">
        <v>0</v>
      </c>
      <c r="I29" s="51">
        <v>0</v>
      </c>
      <c r="J29" s="51">
        <v>0</v>
      </c>
    </row>
    <row r="30" spans="1:10">
      <c r="A30" s="85" t="str">
        <f>IF(Referral!B30="Yes", Referral!A30, IF(Referral!B30="No", "Screening Needed", ""))</f>
        <v/>
      </c>
      <c r="B30" s="49"/>
      <c r="C30" s="50"/>
      <c r="D30" s="45"/>
      <c r="E30" s="45"/>
      <c r="F30" s="51"/>
      <c r="G30" s="51"/>
      <c r="H30" s="51">
        <v>0</v>
      </c>
      <c r="I30" s="51">
        <v>0</v>
      </c>
      <c r="J30" s="51">
        <v>0</v>
      </c>
    </row>
    <row r="31" spans="1:10">
      <c r="A31" s="85" t="str">
        <f>IF(Referral!B31="Yes", Referral!A31, IF(Referral!B31="No", "Screening Needed", ""))</f>
        <v/>
      </c>
      <c r="B31" s="49"/>
      <c r="C31" s="50"/>
      <c r="D31" s="45"/>
      <c r="E31" s="45"/>
      <c r="F31" s="51"/>
      <c r="G31" s="51"/>
      <c r="H31" s="51">
        <v>0</v>
      </c>
      <c r="I31" s="51">
        <v>0</v>
      </c>
      <c r="J31" s="51">
        <v>0</v>
      </c>
    </row>
    <row r="32" spans="1:10">
      <c r="A32" s="85" t="str">
        <f>IF(Referral!B32="Yes", Referral!A32, IF(Referral!B32="No", "Screening Needed", ""))</f>
        <v/>
      </c>
      <c r="B32" s="49"/>
      <c r="C32" s="50"/>
      <c r="D32" s="45"/>
      <c r="E32" s="45"/>
      <c r="F32" s="51"/>
      <c r="G32" s="51"/>
      <c r="H32" s="51">
        <v>0</v>
      </c>
      <c r="I32" s="51">
        <v>0</v>
      </c>
      <c r="J32" s="51">
        <v>0</v>
      </c>
    </row>
    <row r="33" spans="1:10">
      <c r="A33" s="85" t="str">
        <f>IF(Referral!B33="Yes", Referral!A33, IF(Referral!B33="No", "Screening Needed", ""))</f>
        <v/>
      </c>
      <c r="B33" s="49"/>
      <c r="C33" s="50"/>
      <c r="D33" s="45"/>
      <c r="E33" s="45"/>
      <c r="F33" s="51"/>
      <c r="G33" s="51"/>
      <c r="H33" s="51">
        <v>0</v>
      </c>
      <c r="I33" s="51">
        <v>0</v>
      </c>
      <c r="J33" s="51">
        <v>0</v>
      </c>
    </row>
    <row r="34" spans="1:10">
      <c r="A34" s="85" t="str">
        <f>IF(Referral!B34="Yes", Referral!A34, IF(Referral!B34="No", "Screening Needed", ""))</f>
        <v/>
      </c>
      <c r="B34" s="49"/>
      <c r="C34" s="50"/>
      <c r="D34" s="45"/>
      <c r="E34" s="45"/>
      <c r="F34" s="51"/>
      <c r="G34" s="51"/>
      <c r="H34" s="51">
        <v>0</v>
      </c>
      <c r="I34" s="51">
        <v>0</v>
      </c>
      <c r="J34" s="51">
        <v>0</v>
      </c>
    </row>
    <row r="35" spans="1:10">
      <c r="A35" s="85" t="str">
        <f>IF(Referral!B35="Yes", Referral!A35, IF(Referral!B35="No", "Screening Needed", ""))</f>
        <v/>
      </c>
      <c r="B35" s="49"/>
      <c r="C35" s="50"/>
      <c r="D35" s="45"/>
      <c r="E35" s="45"/>
      <c r="F35" s="51"/>
      <c r="G35" s="51"/>
      <c r="H35" s="51">
        <v>0</v>
      </c>
      <c r="I35" s="51">
        <v>0</v>
      </c>
      <c r="J35" s="51">
        <v>0</v>
      </c>
    </row>
    <row r="36" spans="1:10">
      <c r="A36" s="85" t="str">
        <f>IF(Referral!B36="Yes", Referral!A36, IF(Referral!B36="No", "Screening Needed", ""))</f>
        <v/>
      </c>
      <c r="B36" s="49"/>
      <c r="C36" s="50"/>
      <c r="D36" s="45"/>
      <c r="E36" s="45"/>
      <c r="F36" s="51"/>
      <c r="G36" s="51"/>
      <c r="H36" s="51">
        <v>0</v>
      </c>
      <c r="I36" s="51">
        <v>0</v>
      </c>
      <c r="J36" s="51">
        <v>0</v>
      </c>
    </row>
    <row r="37" spans="1:10">
      <c r="A37" s="85" t="str">
        <f>IF(Referral!B37="Yes", Referral!A37, IF(Referral!B37="No", "Screening Needed", ""))</f>
        <v/>
      </c>
      <c r="B37" s="49"/>
      <c r="C37" s="50"/>
      <c r="D37" s="45"/>
      <c r="E37" s="45"/>
      <c r="F37" s="51"/>
      <c r="G37" s="51"/>
      <c r="H37" s="51">
        <v>0</v>
      </c>
      <c r="I37" s="51">
        <v>0</v>
      </c>
      <c r="J37" s="51">
        <v>0</v>
      </c>
    </row>
    <row r="38" spans="1:10">
      <c r="A38" s="85" t="str">
        <f>IF(Referral!B38="Yes", Referral!A38, IF(Referral!B38="No", "Screening Needed", ""))</f>
        <v/>
      </c>
      <c r="B38" s="49"/>
      <c r="C38" s="50"/>
      <c r="D38" s="45"/>
      <c r="E38" s="45"/>
      <c r="F38" s="51"/>
      <c r="G38" s="51"/>
      <c r="H38" s="51">
        <v>0</v>
      </c>
      <c r="I38" s="51">
        <v>0</v>
      </c>
      <c r="J38" s="51">
        <v>0</v>
      </c>
    </row>
    <row r="39" spans="1:10">
      <c r="A39" s="85" t="str">
        <f>IF(Referral!B39="Yes", Referral!A39, IF(Referral!B39="No", "Screening Needed", ""))</f>
        <v/>
      </c>
      <c r="B39" s="49"/>
      <c r="C39" s="50"/>
      <c r="D39" s="45"/>
      <c r="E39" s="45"/>
      <c r="F39" s="51"/>
      <c r="G39" s="51"/>
      <c r="H39" s="51">
        <v>0</v>
      </c>
      <c r="I39" s="51">
        <v>0</v>
      </c>
      <c r="J39" s="51">
        <v>0</v>
      </c>
    </row>
    <row r="40" spans="1:10">
      <c r="A40" s="85" t="str">
        <f>IF(Referral!B40="Yes", Referral!A40, IF(Referral!B40="No", "Screening Needed", ""))</f>
        <v/>
      </c>
      <c r="B40" s="49"/>
      <c r="C40" s="50"/>
      <c r="D40" s="45"/>
      <c r="E40" s="45"/>
      <c r="F40" s="51"/>
      <c r="G40" s="51"/>
      <c r="H40" s="51">
        <v>0</v>
      </c>
      <c r="I40" s="51">
        <v>0</v>
      </c>
      <c r="J40" s="51">
        <v>0</v>
      </c>
    </row>
    <row r="41" spans="1:10">
      <c r="A41" s="85" t="str">
        <f>IF(Referral!B41="Yes", Referral!A41, IF(Referral!B41="No", "Screening Needed", ""))</f>
        <v/>
      </c>
      <c r="B41" s="49"/>
      <c r="C41" s="50"/>
      <c r="D41" s="45"/>
      <c r="E41" s="45"/>
      <c r="F41" s="51"/>
      <c r="G41" s="51"/>
      <c r="H41" s="51">
        <v>0</v>
      </c>
      <c r="I41" s="51">
        <v>0</v>
      </c>
      <c r="J41" s="51">
        <v>0</v>
      </c>
    </row>
    <row r="42" spans="1:10">
      <c r="A42" s="85" t="str">
        <f>IF(Referral!B42="Yes", Referral!A42, IF(Referral!B42="No", "Screening Needed", ""))</f>
        <v/>
      </c>
      <c r="B42" s="49"/>
      <c r="C42" s="50"/>
      <c r="D42" s="45"/>
      <c r="E42" s="45"/>
      <c r="F42" s="51"/>
      <c r="G42" s="51"/>
      <c r="H42" s="51">
        <v>0</v>
      </c>
      <c r="I42" s="51">
        <v>0</v>
      </c>
      <c r="J42" s="51">
        <v>0</v>
      </c>
    </row>
    <row r="43" spans="1:10">
      <c r="A43" s="85" t="str">
        <f>IF(Referral!B43="Yes", Referral!A43, IF(Referral!B43="No", "Screening Needed", ""))</f>
        <v/>
      </c>
      <c r="B43" s="49"/>
      <c r="C43" s="50"/>
      <c r="D43" s="45"/>
      <c r="E43" s="45"/>
      <c r="F43" s="51"/>
      <c r="G43" s="51"/>
      <c r="H43" s="51">
        <v>0</v>
      </c>
      <c r="I43" s="51">
        <v>0</v>
      </c>
      <c r="J43" s="51">
        <v>0</v>
      </c>
    </row>
    <row r="44" spans="1:10">
      <c r="A44" s="85" t="str">
        <f>IF(Referral!B44="Yes", Referral!A44, IF(Referral!B44="No", "Screening Needed", ""))</f>
        <v/>
      </c>
      <c r="B44" s="49"/>
      <c r="C44" s="50"/>
      <c r="D44" s="45"/>
      <c r="E44" s="45"/>
      <c r="F44" s="51"/>
      <c r="G44" s="51"/>
      <c r="H44" s="51">
        <v>0</v>
      </c>
      <c r="I44" s="51">
        <v>0</v>
      </c>
      <c r="J44" s="51">
        <v>0</v>
      </c>
    </row>
    <row r="45" spans="1:10">
      <c r="A45" s="85" t="str">
        <f>IF(Referral!B45="Yes", Referral!A45, IF(Referral!B45="No", "Screening Needed", ""))</f>
        <v/>
      </c>
      <c r="B45" s="49"/>
      <c r="C45" s="50"/>
      <c r="D45" s="45"/>
      <c r="E45" s="45"/>
      <c r="F45" s="51"/>
      <c r="G45" s="51"/>
      <c r="H45" s="51">
        <v>0</v>
      </c>
      <c r="I45" s="51">
        <v>0</v>
      </c>
      <c r="J45" s="51">
        <v>0</v>
      </c>
    </row>
    <row r="46" spans="1:10">
      <c r="A46" s="85" t="str">
        <f>IF(Referral!B46="Yes", Referral!A46, IF(Referral!B46="No", "Screening Needed", ""))</f>
        <v/>
      </c>
      <c r="B46" s="49"/>
      <c r="C46" s="50"/>
      <c r="D46" s="45"/>
      <c r="E46" s="45"/>
      <c r="F46" s="51"/>
      <c r="G46" s="51"/>
      <c r="H46" s="51">
        <v>0</v>
      </c>
      <c r="I46" s="51">
        <v>0</v>
      </c>
      <c r="J46" s="51">
        <v>0</v>
      </c>
    </row>
    <row r="47" spans="1:10">
      <c r="A47" s="85" t="str">
        <f>IF(Referral!B47="Yes", Referral!A47, IF(Referral!B47="No", "Screening Needed", ""))</f>
        <v/>
      </c>
      <c r="B47" s="49"/>
      <c r="C47" s="50"/>
      <c r="D47" s="45"/>
      <c r="E47" s="45"/>
      <c r="F47" s="51"/>
      <c r="G47" s="51"/>
      <c r="H47" s="51">
        <v>0</v>
      </c>
      <c r="I47" s="51">
        <v>0</v>
      </c>
      <c r="J47" s="51">
        <v>0</v>
      </c>
    </row>
    <row r="48" spans="1:10">
      <c r="A48" s="85" t="str">
        <f>IF(Referral!B48="Yes", Referral!A48, IF(Referral!B48="No", "Screening Needed", ""))</f>
        <v/>
      </c>
      <c r="B48" s="49"/>
      <c r="C48" s="50"/>
      <c r="D48" s="45"/>
      <c r="E48" s="45"/>
      <c r="F48" s="51"/>
      <c r="G48" s="51"/>
      <c r="H48" s="51">
        <v>0</v>
      </c>
      <c r="I48" s="51">
        <v>0</v>
      </c>
      <c r="J48" s="51">
        <v>0</v>
      </c>
    </row>
    <row r="49" spans="1:10">
      <c r="A49" s="85" t="str">
        <f>IF(Referral!B49="Yes", Referral!A49, IF(Referral!B49="No", "Screening Needed", ""))</f>
        <v/>
      </c>
      <c r="B49" s="49"/>
      <c r="C49" s="50"/>
      <c r="D49" s="45"/>
      <c r="E49" s="45"/>
      <c r="F49" s="51"/>
      <c r="G49" s="51"/>
      <c r="H49" s="51">
        <v>0</v>
      </c>
      <c r="I49" s="51">
        <v>0</v>
      </c>
      <c r="J49" s="51">
        <v>0</v>
      </c>
    </row>
    <row r="50" spans="1:10">
      <c r="A50" s="85" t="str">
        <f>IF(Referral!B50="Yes", Referral!A50, IF(Referral!B50="No", "Screening Needed", ""))</f>
        <v/>
      </c>
      <c r="B50" s="49"/>
      <c r="C50" s="50"/>
      <c r="D50" s="45"/>
      <c r="E50" s="45"/>
      <c r="F50" s="51"/>
      <c r="G50" s="51"/>
      <c r="H50" s="51">
        <v>0</v>
      </c>
      <c r="I50" s="51">
        <v>0</v>
      </c>
      <c r="J50" s="51">
        <v>0</v>
      </c>
    </row>
    <row r="51" spans="1:10">
      <c r="A51" s="85" t="str">
        <f>IF(Referral!B51="Yes", Referral!A51, IF(Referral!B51="No", "Screening Needed", ""))</f>
        <v/>
      </c>
      <c r="B51" s="49"/>
      <c r="C51" s="50"/>
      <c r="D51" s="45"/>
      <c r="E51" s="45"/>
      <c r="F51" s="51"/>
      <c r="G51" s="51"/>
      <c r="H51" s="51">
        <v>0</v>
      </c>
      <c r="I51" s="51">
        <v>0</v>
      </c>
      <c r="J51" s="51">
        <v>0</v>
      </c>
    </row>
    <row r="52" spans="1:10">
      <c r="A52" s="86" t="str">
        <f>IF(Referral!B52="Yes", Referral!A52, IF(Referral!B52="No", "Screening Needed", ""))</f>
        <v/>
      </c>
      <c r="B52" s="52"/>
      <c r="C52" s="53"/>
      <c r="D52" s="47"/>
      <c r="E52" s="47"/>
      <c r="F52" s="54"/>
      <c r="G52" s="54"/>
      <c r="H52" s="51">
        <v>0</v>
      </c>
      <c r="I52" s="51">
        <v>0</v>
      </c>
      <c r="J52" s="51">
        <v>0</v>
      </c>
    </row>
    <row r="53" spans="1:10">
      <c r="A53" s="86" t="str">
        <f>IF(Referral!B53="Yes", Referral!A53, IF(Referral!B53="No", "Screening Needed", ""))</f>
        <v/>
      </c>
      <c r="B53" s="52"/>
      <c r="C53" s="53"/>
      <c r="D53" s="47"/>
      <c r="E53" s="47"/>
      <c r="F53" s="54"/>
      <c r="G53" s="54"/>
      <c r="H53" s="51">
        <v>0</v>
      </c>
      <c r="I53" s="51">
        <v>0</v>
      </c>
      <c r="J53" s="51">
        <v>0</v>
      </c>
    </row>
    <row r="54" spans="1:10">
      <c r="A54" s="86" t="str">
        <f>IF(Referral!B54="Yes", Referral!A54, IF(Referral!B54="No", "Screening Needed", ""))</f>
        <v/>
      </c>
      <c r="B54" s="52"/>
      <c r="C54" s="53"/>
      <c r="D54" s="47"/>
      <c r="E54" s="47"/>
      <c r="F54" s="54"/>
      <c r="G54" s="54"/>
      <c r="H54" s="51">
        <v>0</v>
      </c>
      <c r="I54" s="51">
        <v>0</v>
      </c>
      <c r="J54" s="51">
        <v>0</v>
      </c>
    </row>
    <row r="55" spans="1:10">
      <c r="A55" s="85" t="str">
        <f>IF(Referral!B55="Yes", Referral!A55, IF(Referral!B55="No", "Screening Needed", ""))</f>
        <v/>
      </c>
      <c r="B55" s="49"/>
      <c r="C55" s="50"/>
      <c r="D55" s="45"/>
      <c r="E55" s="45"/>
      <c r="F55" s="51"/>
      <c r="G55" s="51"/>
      <c r="H55" s="51">
        <v>0</v>
      </c>
      <c r="I55" s="51">
        <v>0</v>
      </c>
      <c r="J55" s="51">
        <v>0</v>
      </c>
    </row>
    <row r="56" spans="1:10">
      <c r="A56" s="86" t="str">
        <f>IF(Referral!B56="Yes", Referral!A56, IF(Referral!B56="No", "Screening Needed", ""))</f>
        <v/>
      </c>
      <c r="B56" s="52"/>
      <c r="C56" s="53"/>
      <c r="D56" s="47"/>
      <c r="E56" s="47"/>
      <c r="F56" s="54"/>
      <c r="G56" s="54"/>
      <c r="H56" s="51">
        <v>0</v>
      </c>
      <c r="I56" s="51">
        <v>0</v>
      </c>
      <c r="J56" s="51">
        <v>0</v>
      </c>
    </row>
    <row r="57" spans="1:10">
      <c r="A57" s="85" t="str">
        <f>IF(Referral!B57="Yes", Referral!A57, IF(Referral!B57="No", "Screening Needed", ""))</f>
        <v/>
      </c>
      <c r="B57" s="49"/>
      <c r="C57" s="50"/>
      <c r="D57" s="45"/>
      <c r="E57" s="45"/>
      <c r="F57" s="51"/>
      <c r="G57" s="51"/>
      <c r="H57" s="51">
        <v>0</v>
      </c>
      <c r="I57" s="51">
        <v>0</v>
      </c>
      <c r="J57" s="51">
        <v>0</v>
      </c>
    </row>
    <row r="58" spans="1:10">
      <c r="A58" s="85" t="str">
        <f>IF(Referral!B58="Yes", Referral!A58, IF(Referral!B58="No", "Screening Needed", ""))</f>
        <v/>
      </c>
      <c r="B58" s="49"/>
      <c r="C58" s="50"/>
      <c r="D58" s="45"/>
      <c r="E58" s="45"/>
      <c r="F58" s="51"/>
      <c r="G58" s="51"/>
      <c r="H58" s="51">
        <v>0</v>
      </c>
      <c r="I58" s="51">
        <v>0</v>
      </c>
      <c r="J58" s="51">
        <v>0</v>
      </c>
    </row>
    <row r="59" spans="1:10">
      <c r="A59" s="85" t="str">
        <f>IF(Referral!B59="Yes", Referral!A59, IF(Referral!B59="No", "Screening Needed", ""))</f>
        <v/>
      </c>
      <c r="B59" s="49"/>
      <c r="C59" s="50"/>
      <c r="D59" s="45"/>
      <c r="E59" s="45"/>
      <c r="F59" s="51"/>
      <c r="G59" s="51"/>
      <c r="H59" s="51">
        <v>0</v>
      </c>
      <c r="I59" s="51">
        <v>0</v>
      </c>
      <c r="J59" s="51">
        <v>0</v>
      </c>
    </row>
    <row r="60" spans="1:10">
      <c r="A60" s="85" t="str">
        <f>IF(Referral!B60="Yes", Referral!A60, IF(Referral!B60="No", "Screening Needed", ""))</f>
        <v/>
      </c>
      <c r="B60" s="49"/>
      <c r="C60" s="50"/>
      <c r="D60" s="45"/>
      <c r="E60" s="45"/>
      <c r="F60" s="51"/>
      <c r="G60" s="51"/>
      <c r="H60" s="51">
        <v>0</v>
      </c>
      <c r="I60" s="51">
        <v>0</v>
      </c>
      <c r="J60" s="51">
        <v>0</v>
      </c>
    </row>
    <row r="61" spans="1:10">
      <c r="A61" s="85" t="str">
        <f>IF(Referral!B61="Yes", Referral!A61, IF(Referral!B61="No", "Screening Needed", ""))</f>
        <v/>
      </c>
      <c r="B61" s="49"/>
      <c r="C61" s="50"/>
      <c r="D61" s="45"/>
      <c r="E61" s="45"/>
      <c r="F61" s="51"/>
      <c r="G61" s="51"/>
      <c r="H61" s="51">
        <v>0</v>
      </c>
      <c r="I61" s="51">
        <v>0</v>
      </c>
      <c r="J61" s="51">
        <v>0</v>
      </c>
    </row>
    <row r="62" spans="1:10">
      <c r="A62" s="85" t="str">
        <f>IF(Referral!B62="Yes", Referral!A62, IF(Referral!B62="No", "Screening Needed", ""))</f>
        <v/>
      </c>
      <c r="B62" s="49"/>
      <c r="C62" s="50"/>
      <c r="D62" s="45"/>
      <c r="E62" s="45"/>
      <c r="F62" s="51"/>
      <c r="G62" s="51"/>
      <c r="H62" s="51">
        <v>0</v>
      </c>
      <c r="I62" s="51">
        <v>0</v>
      </c>
      <c r="J62" s="51">
        <v>0</v>
      </c>
    </row>
    <row r="63" spans="1:10">
      <c r="A63" s="85" t="str">
        <f>IF(Referral!B63="Yes", Referral!A63, IF(Referral!B63="No", "Screening Needed", ""))</f>
        <v/>
      </c>
      <c r="B63" s="49"/>
      <c r="C63" s="50"/>
      <c r="D63" s="45"/>
      <c r="E63" s="45"/>
      <c r="F63" s="51"/>
      <c r="G63" s="51"/>
      <c r="H63" s="51">
        <v>0</v>
      </c>
      <c r="I63" s="51">
        <v>0</v>
      </c>
      <c r="J63" s="51">
        <v>0</v>
      </c>
    </row>
    <row r="64" spans="1:10">
      <c r="A64" s="86" t="str">
        <f>IF(Referral!B64="Yes", Referral!A64, IF(Referral!B64="No", "Screening Needed", ""))</f>
        <v/>
      </c>
      <c r="B64" s="52"/>
      <c r="C64" s="53"/>
      <c r="D64" s="47"/>
      <c r="E64" s="47"/>
      <c r="F64" s="54"/>
      <c r="G64" s="54"/>
      <c r="H64" s="51">
        <v>0</v>
      </c>
      <c r="I64" s="51">
        <v>0</v>
      </c>
      <c r="J64" s="51">
        <v>0</v>
      </c>
    </row>
    <row r="65" spans="1:10">
      <c r="A65" s="85" t="str">
        <f>IF(Referral!B65="Yes", Referral!A65, IF(Referral!B65="No", "Screening Needed", ""))</f>
        <v/>
      </c>
      <c r="B65" s="49"/>
      <c r="C65" s="50"/>
      <c r="D65" s="45"/>
      <c r="E65" s="45"/>
      <c r="F65" s="51"/>
      <c r="G65" s="51"/>
      <c r="H65" s="51">
        <v>0</v>
      </c>
      <c r="I65" s="51">
        <v>0</v>
      </c>
      <c r="J65" s="51">
        <v>0</v>
      </c>
    </row>
    <row r="66" spans="1:10">
      <c r="A66" s="86" t="str">
        <f>IF(Referral!B66="Yes", Referral!A66, IF(Referral!B66="No", "Screening Needed", ""))</f>
        <v/>
      </c>
      <c r="B66" s="52"/>
      <c r="C66" s="53"/>
      <c r="D66" s="47"/>
      <c r="E66" s="47"/>
      <c r="F66" s="54"/>
      <c r="G66" s="54"/>
      <c r="H66" s="51">
        <v>0</v>
      </c>
      <c r="I66" s="51">
        <v>0</v>
      </c>
      <c r="J66" s="51">
        <v>0</v>
      </c>
    </row>
    <row r="67" spans="1:10">
      <c r="A67" s="85" t="str">
        <f>IF(Referral!B67="Yes", Referral!A67, IF(Referral!B67="No", "Screening Needed", ""))</f>
        <v/>
      </c>
      <c r="B67" s="49"/>
      <c r="C67" s="50"/>
      <c r="D67" s="45"/>
      <c r="E67" s="45"/>
      <c r="F67" s="51"/>
      <c r="G67" s="51"/>
      <c r="H67" s="51">
        <v>0</v>
      </c>
      <c r="I67" s="51">
        <v>0</v>
      </c>
      <c r="J67" s="51">
        <v>0</v>
      </c>
    </row>
    <row r="68" spans="1:10">
      <c r="A68" s="86" t="str">
        <f>IF(Referral!B68="Yes", Referral!A68, IF(Referral!B68="No", "Screening Needed", ""))</f>
        <v/>
      </c>
      <c r="B68" s="52"/>
      <c r="C68" s="53"/>
      <c r="D68" s="47"/>
      <c r="E68" s="47"/>
      <c r="F68" s="54"/>
      <c r="G68" s="54"/>
      <c r="H68" s="51">
        <v>0</v>
      </c>
      <c r="I68" s="51">
        <v>0</v>
      </c>
      <c r="J68" s="51">
        <v>0</v>
      </c>
    </row>
    <row r="69" spans="1:10">
      <c r="A69" s="85" t="str">
        <f>IF(Referral!B69="Yes", Referral!A69, IF(Referral!B69="No", "Screening Needed", ""))</f>
        <v/>
      </c>
      <c r="B69" s="49"/>
      <c r="C69" s="50"/>
      <c r="D69" s="45"/>
      <c r="E69" s="45"/>
      <c r="F69" s="51"/>
      <c r="G69" s="51"/>
      <c r="H69" s="51">
        <v>0</v>
      </c>
      <c r="I69" s="51">
        <v>0</v>
      </c>
      <c r="J69" s="51">
        <v>0</v>
      </c>
    </row>
    <row r="70" spans="1:10">
      <c r="A70" s="86" t="str">
        <f>IF(Referral!B70="Yes", Referral!A70, IF(Referral!B70="No", "Screening Needed", ""))</f>
        <v/>
      </c>
      <c r="B70" s="52"/>
      <c r="C70" s="53"/>
      <c r="D70" s="47"/>
      <c r="E70" s="47"/>
      <c r="F70" s="54"/>
      <c r="G70" s="54"/>
      <c r="H70" s="51">
        <v>0</v>
      </c>
      <c r="I70" s="51">
        <v>0</v>
      </c>
      <c r="J70" s="51">
        <v>0</v>
      </c>
    </row>
    <row r="71" spans="1:10">
      <c r="A71" s="85" t="str">
        <f>IF(Referral!B71="Yes", Referral!A71, IF(Referral!B71="No", "Screening Needed", ""))</f>
        <v/>
      </c>
      <c r="B71" s="49"/>
      <c r="C71" s="50"/>
      <c r="D71" s="45"/>
      <c r="E71" s="45"/>
      <c r="F71" s="51"/>
      <c r="G71" s="51"/>
      <c r="H71" s="51">
        <v>0</v>
      </c>
      <c r="I71" s="51">
        <v>0</v>
      </c>
      <c r="J71" s="51">
        <v>0</v>
      </c>
    </row>
    <row r="72" spans="1:10">
      <c r="A72" s="86" t="str">
        <f>IF(Referral!B72="Yes", Referral!A72, IF(Referral!B72="No", "Screening Needed", ""))</f>
        <v/>
      </c>
      <c r="B72" s="52"/>
      <c r="C72" s="53"/>
      <c r="D72" s="47"/>
      <c r="E72" s="47"/>
      <c r="F72" s="54"/>
      <c r="G72" s="54"/>
      <c r="H72" s="51">
        <v>0</v>
      </c>
      <c r="I72" s="51">
        <v>0</v>
      </c>
      <c r="J72" s="51">
        <v>0</v>
      </c>
    </row>
    <row r="73" spans="1:10">
      <c r="A73" s="86" t="str">
        <f>IF(Referral!B73="Yes", Referral!A73, IF(Referral!B73="No", "Screening Needed", ""))</f>
        <v/>
      </c>
      <c r="B73" s="52"/>
      <c r="C73" s="53"/>
      <c r="D73" s="47"/>
      <c r="E73" s="47"/>
      <c r="F73" s="54"/>
      <c r="G73" s="54"/>
      <c r="H73" s="51">
        <v>0</v>
      </c>
      <c r="I73" s="51">
        <v>0</v>
      </c>
      <c r="J73" s="51">
        <v>0</v>
      </c>
    </row>
    <row r="74" spans="1:10">
      <c r="A74" s="86" t="str">
        <f>IF(Referral!B74="Yes", Referral!A74, IF(Referral!B74="No", "Screening Needed", ""))</f>
        <v/>
      </c>
      <c r="B74" s="52"/>
      <c r="C74" s="53"/>
      <c r="D74" s="47"/>
      <c r="E74" s="47"/>
      <c r="F74" s="54"/>
      <c r="G74" s="54"/>
      <c r="H74" s="51">
        <v>0</v>
      </c>
      <c r="I74" s="51">
        <v>0</v>
      </c>
      <c r="J74" s="51">
        <v>0</v>
      </c>
    </row>
    <row r="75" spans="1:10">
      <c r="A75" s="86" t="str">
        <f>IF(Referral!B75="Yes", Referral!A75, IF(Referral!B75="No", "Screening Needed", ""))</f>
        <v/>
      </c>
      <c r="B75" s="52"/>
      <c r="C75" s="53"/>
      <c r="D75" s="47"/>
      <c r="E75" s="47"/>
      <c r="F75" s="54"/>
      <c r="G75" s="54"/>
      <c r="H75" s="51">
        <v>0</v>
      </c>
      <c r="I75" s="51">
        <v>0</v>
      </c>
      <c r="J75" s="51">
        <v>0</v>
      </c>
    </row>
    <row r="76" spans="1:10">
      <c r="A76" s="85" t="str">
        <f>IF(Referral!B76="Yes", Referral!A76, IF(Referral!B76="No", "Screening Needed", ""))</f>
        <v/>
      </c>
      <c r="B76" s="49"/>
      <c r="C76" s="50"/>
      <c r="D76" s="45"/>
      <c r="E76" s="45"/>
      <c r="F76" s="51"/>
      <c r="G76" s="51"/>
      <c r="H76" s="51">
        <v>0</v>
      </c>
      <c r="I76" s="51">
        <v>0</v>
      </c>
      <c r="J76" s="51">
        <v>0</v>
      </c>
    </row>
    <row r="77" spans="1:10">
      <c r="A77" s="85" t="str">
        <f>IF(Referral!B77="Yes", Referral!A77, IF(Referral!B77="No", "Screening Needed", ""))</f>
        <v/>
      </c>
      <c r="B77" s="49"/>
      <c r="C77" s="50"/>
      <c r="D77" s="45"/>
      <c r="E77" s="45"/>
      <c r="F77" s="51"/>
      <c r="G77" s="51"/>
      <c r="H77" s="51">
        <v>0</v>
      </c>
      <c r="I77" s="51">
        <v>0</v>
      </c>
      <c r="J77" s="51">
        <v>0</v>
      </c>
    </row>
    <row r="78" spans="1:10">
      <c r="A78" s="85" t="str">
        <f>IF(Referral!B78="Yes", Referral!A78, IF(Referral!B78="No", "Screening Needed", ""))</f>
        <v/>
      </c>
      <c r="B78" s="49"/>
      <c r="C78" s="50"/>
      <c r="D78" s="45"/>
      <c r="E78" s="45"/>
      <c r="F78" s="51"/>
      <c r="G78" s="51"/>
      <c r="H78" s="51">
        <v>0</v>
      </c>
      <c r="I78" s="51">
        <v>0</v>
      </c>
      <c r="J78" s="51">
        <v>0</v>
      </c>
    </row>
    <row r="79" spans="1:10">
      <c r="A79" s="85" t="str">
        <f>IF(Referral!B79="Yes", Referral!A79, IF(Referral!B79="No", "Screening Needed", ""))</f>
        <v/>
      </c>
      <c r="B79" s="49"/>
      <c r="C79" s="50"/>
      <c r="D79" s="45"/>
      <c r="E79" s="45"/>
      <c r="F79" s="51"/>
      <c r="G79" s="51"/>
      <c r="H79" s="51">
        <v>0</v>
      </c>
      <c r="I79" s="51">
        <v>0</v>
      </c>
      <c r="J79" s="51">
        <v>0</v>
      </c>
    </row>
    <row r="80" spans="1:10">
      <c r="A80" s="85" t="str">
        <f>IF(Referral!B80="Yes", Referral!A80, IF(Referral!B80="No", "Screening Needed", ""))</f>
        <v/>
      </c>
      <c r="B80" s="49"/>
      <c r="C80" s="50"/>
      <c r="D80" s="45"/>
      <c r="E80" s="45"/>
      <c r="F80" s="51"/>
      <c r="G80" s="51"/>
      <c r="H80" s="51">
        <v>0</v>
      </c>
      <c r="I80" s="51">
        <v>0</v>
      </c>
      <c r="J80" s="51">
        <v>0</v>
      </c>
    </row>
    <row r="81" spans="1:10">
      <c r="A81" s="85" t="str">
        <f>IF(Referral!B81="Yes", Referral!A81, IF(Referral!B81="No", "Screening Needed", ""))</f>
        <v/>
      </c>
      <c r="B81" s="49"/>
      <c r="C81" s="50"/>
      <c r="D81" s="45"/>
      <c r="E81" s="45"/>
      <c r="F81" s="51"/>
      <c r="G81" s="51"/>
      <c r="H81" s="51">
        <v>0</v>
      </c>
      <c r="I81" s="51">
        <v>0</v>
      </c>
      <c r="J81" s="51">
        <v>0</v>
      </c>
    </row>
    <row r="82" spans="1:10">
      <c r="A82" s="85" t="str">
        <f>IF(Referral!B82="Yes", Referral!A82, IF(Referral!B82="No", "Screening Needed", ""))</f>
        <v/>
      </c>
      <c r="B82" s="49"/>
      <c r="C82" s="50"/>
      <c r="D82" s="45"/>
      <c r="E82" s="45"/>
      <c r="F82" s="51"/>
      <c r="G82" s="51"/>
      <c r="H82" s="51">
        <v>0</v>
      </c>
      <c r="I82" s="51">
        <v>0</v>
      </c>
      <c r="J82" s="51">
        <v>0</v>
      </c>
    </row>
    <row r="83" spans="1:10">
      <c r="A83" s="85" t="str">
        <f>IF(Referral!B83="Yes", Referral!A83, IF(Referral!B83="No", "Screening Needed", ""))</f>
        <v/>
      </c>
      <c r="B83" s="49"/>
      <c r="C83" s="50"/>
      <c r="D83" s="45"/>
      <c r="E83" s="45"/>
      <c r="F83" s="51"/>
      <c r="G83" s="51"/>
      <c r="H83" s="51">
        <v>0</v>
      </c>
      <c r="I83" s="51">
        <v>0</v>
      </c>
      <c r="J83" s="51">
        <v>0</v>
      </c>
    </row>
    <row r="84" spans="1:10">
      <c r="A84" s="85" t="str">
        <f>IF(Referral!B84="Yes", Referral!A84, IF(Referral!B84="No", "Screening Needed", ""))</f>
        <v/>
      </c>
      <c r="B84" s="49"/>
      <c r="C84" s="50"/>
      <c r="D84" s="45"/>
      <c r="E84" s="45"/>
      <c r="F84" s="51"/>
      <c r="G84" s="51"/>
      <c r="H84" s="51">
        <v>0</v>
      </c>
      <c r="I84" s="51">
        <v>0</v>
      </c>
      <c r="J84" s="51">
        <v>0</v>
      </c>
    </row>
    <row r="85" spans="1:10">
      <c r="A85" s="85" t="str">
        <f>IF(Referral!B85="Yes", Referral!A85, IF(Referral!B85="No", "Screening Needed", ""))</f>
        <v/>
      </c>
      <c r="B85" s="49"/>
      <c r="C85" s="50"/>
      <c r="D85" s="45"/>
      <c r="E85" s="45"/>
      <c r="F85" s="51"/>
      <c r="G85" s="51"/>
      <c r="H85" s="51">
        <v>0</v>
      </c>
      <c r="I85" s="51">
        <v>0</v>
      </c>
      <c r="J85" s="51">
        <v>0</v>
      </c>
    </row>
    <row r="86" spans="1:10">
      <c r="A86" s="85" t="str">
        <f>IF(Referral!B86="Yes", Referral!A86, IF(Referral!B86="No", "Screening Needed", ""))</f>
        <v/>
      </c>
      <c r="B86" s="49"/>
      <c r="C86" s="50"/>
      <c r="D86" s="45"/>
      <c r="E86" s="45"/>
      <c r="F86" s="51"/>
      <c r="G86" s="51"/>
      <c r="H86" s="51">
        <v>0</v>
      </c>
      <c r="I86" s="51">
        <v>0</v>
      </c>
      <c r="J86" s="51">
        <v>0</v>
      </c>
    </row>
    <row r="87" spans="1:10">
      <c r="A87" s="85" t="str">
        <f>IF(Referral!B87="Yes", Referral!A87, IF(Referral!B87="No", "Screening Needed", ""))</f>
        <v/>
      </c>
      <c r="B87" s="49"/>
      <c r="C87" s="50"/>
      <c r="D87" s="45"/>
      <c r="E87" s="45"/>
      <c r="F87" s="51"/>
      <c r="G87" s="51"/>
      <c r="H87" s="51">
        <v>0</v>
      </c>
      <c r="I87" s="51">
        <v>0</v>
      </c>
      <c r="J87" s="51">
        <v>0</v>
      </c>
    </row>
    <row r="88" spans="1:10">
      <c r="A88" s="85" t="str">
        <f>IF(Referral!B88="Yes", Referral!A88, IF(Referral!B88="No", "Screening Needed", ""))</f>
        <v/>
      </c>
      <c r="B88" s="49"/>
      <c r="C88" s="50"/>
      <c r="D88" s="45"/>
      <c r="E88" s="45"/>
      <c r="F88" s="51"/>
      <c r="G88" s="51"/>
      <c r="H88" s="51">
        <v>0</v>
      </c>
      <c r="I88" s="51">
        <v>0</v>
      </c>
      <c r="J88" s="51">
        <v>0</v>
      </c>
    </row>
    <row r="89" spans="1:10">
      <c r="A89" s="85" t="str">
        <f>IF(Referral!B89="Yes", Referral!A89, IF(Referral!B89="No", "Screening Needed", ""))</f>
        <v/>
      </c>
      <c r="B89" s="49"/>
      <c r="C89" s="50"/>
      <c r="D89" s="45"/>
      <c r="E89" s="45"/>
      <c r="F89" s="51"/>
      <c r="G89" s="51"/>
      <c r="H89" s="51">
        <v>0</v>
      </c>
      <c r="I89" s="51">
        <v>0</v>
      </c>
      <c r="J89" s="51">
        <v>0</v>
      </c>
    </row>
    <row r="90" spans="1:10">
      <c r="A90" s="85" t="str">
        <f>IF(Referral!B90="Yes", Referral!A90, IF(Referral!B90="No", "Screening Needed", ""))</f>
        <v/>
      </c>
      <c r="B90" s="49"/>
      <c r="C90" s="50"/>
      <c r="D90" s="45"/>
      <c r="E90" s="45"/>
      <c r="F90" s="51"/>
      <c r="G90" s="51"/>
      <c r="H90" s="51">
        <v>0</v>
      </c>
      <c r="I90" s="51">
        <v>0</v>
      </c>
      <c r="J90" s="51">
        <v>0</v>
      </c>
    </row>
    <row r="91" spans="1:10">
      <c r="A91" s="85" t="str">
        <f>IF(Referral!B91="Yes", Referral!A91, IF(Referral!B91="No", "Screening Needed", ""))</f>
        <v/>
      </c>
      <c r="B91" s="49"/>
      <c r="C91" s="50"/>
      <c r="D91" s="45"/>
      <c r="E91" s="45"/>
      <c r="F91" s="51"/>
      <c r="G91" s="51"/>
      <c r="H91" s="51">
        <v>0</v>
      </c>
      <c r="I91" s="51">
        <v>0</v>
      </c>
      <c r="J91" s="51">
        <v>0</v>
      </c>
    </row>
    <row r="92" spans="1:10">
      <c r="A92" s="85" t="str">
        <f>IF(Referral!B92="Yes", Referral!A92, IF(Referral!B92="No", "Screening Needed", ""))</f>
        <v/>
      </c>
      <c r="B92" s="49"/>
      <c r="C92" s="50"/>
      <c r="D92" s="45"/>
      <c r="E92" s="45"/>
      <c r="F92" s="51"/>
      <c r="G92" s="51"/>
      <c r="H92" s="51">
        <v>0</v>
      </c>
      <c r="I92" s="51">
        <v>0</v>
      </c>
      <c r="J92" s="51">
        <v>0</v>
      </c>
    </row>
    <row r="93" spans="1:10">
      <c r="A93" s="85" t="str">
        <f>IF(Referral!B93="Yes", Referral!A93, IF(Referral!B93="No", "Screening Needed", ""))</f>
        <v/>
      </c>
      <c r="B93" s="49"/>
      <c r="C93" s="50"/>
      <c r="D93" s="45"/>
      <c r="E93" s="45"/>
      <c r="F93" s="51"/>
      <c r="G93" s="51"/>
      <c r="H93" s="51">
        <v>0</v>
      </c>
      <c r="I93" s="51">
        <v>0</v>
      </c>
      <c r="J93" s="51">
        <v>0</v>
      </c>
    </row>
    <row r="94" spans="1:10">
      <c r="A94" s="85" t="str">
        <f>IF(Referral!B94="Yes", Referral!A94, IF(Referral!B94="No", "Screening Needed", ""))</f>
        <v/>
      </c>
      <c r="B94" s="49"/>
      <c r="C94" s="50"/>
      <c r="D94" s="45"/>
      <c r="E94" s="45"/>
      <c r="F94" s="51"/>
      <c r="G94" s="51"/>
      <c r="H94" s="51">
        <v>0</v>
      </c>
      <c r="I94" s="51">
        <v>0</v>
      </c>
      <c r="J94" s="51">
        <v>0</v>
      </c>
    </row>
    <row r="95" spans="1:10">
      <c r="A95" s="85" t="str">
        <f>IF(Referral!B95="Yes", Referral!A95, IF(Referral!B95="No", "Screening Needed", ""))</f>
        <v/>
      </c>
      <c r="B95" s="49"/>
      <c r="C95" s="50"/>
      <c r="D95" s="45"/>
      <c r="E95" s="45"/>
      <c r="F95" s="51"/>
      <c r="G95" s="51"/>
      <c r="H95" s="51">
        <v>0</v>
      </c>
      <c r="I95" s="51">
        <v>0</v>
      </c>
      <c r="J95" s="51">
        <v>0</v>
      </c>
    </row>
    <row r="96" spans="1:10">
      <c r="A96" s="85" t="str">
        <f>IF(Referral!B96="Yes", Referral!A96, IF(Referral!B96="No", "Screening Needed", ""))</f>
        <v/>
      </c>
      <c r="B96" s="49"/>
      <c r="C96" s="50"/>
      <c r="D96" s="45"/>
      <c r="E96" s="45"/>
      <c r="F96" s="51"/>
      <c r="G96" s="51"/>
      <c r="H96" s="51">
        <v>0</v>
      </c>
      <c r="I96" s="51">
        <v>0</v>
      </c>
      <c r="J96" s="51">
        <v>0</v>
      </c>
    </row>
    <row r="97" spans="1:10">
      <c r="A97" s="85" t="str">
        <f>IF(Referral!B97="Yes", Referral!A97, IF(Referral!B97="No", "Screening Needed", ""))</f>
        <v/>
      </c>
      <c r="B97" s="49"/>
      <c r="C97" s="50"/>
      <c r="D97" s="45"/>
      <c r="E97" s="45"/>
      <c r="F97" s="51"/>
      <c r="G97" s="51"/>
      <c r="H97" s="51">
        <v>0</v>
      </c>
      <c r="I97" s="51">
        <v>0</v>
      </c>
      <c r="J97" s="51">
        <v>0</v>
      </c>
    </row>
    <row r="98" spans="1:10">
      <c r="A98" s="85" t="str">
        <f>IF(Referral!B98="Yes", Referral!A98, IF(Referral!B98="No", "Screening Needed", ""))</f>
        <v/>
      </c>
      <c r="B98" s="49"/>
      <c r="C98" s="50"/>
      <c r="D98" s="45"/>
      <c r="E98" s="45"/>
      <c r="F98" s="51"/>
      <c r="G98" s="51"/>
      <c r="H98" s="51">
        <v>0</v>
      </c>
      <c r="I98" s="51">
        <v>0</v>
      </c>
      <c r="J98" s="51">
        <v>0</v>
      </c>
    </row>
    <row r="99" spans="1:10">
      <c r="A99" s="85" t="str">
        <f>IF(Referral!B99="Yes", Referral!A99, IF(Referral!B99="No", "Screening Needed", ""))</f>
        <v/>
      </c>
      <c r="B99" s="49"/>
      <c r="C99" s="50"/>
      <c r="D99" s="45"/>
      <c r="E99" s="45"/>
      <c r="F99" s="51"/>
      <c r="G99" s="51"/>
      <c r="H99" s="51">
        <v>0</v>
      </c>
      <c r="I99" s="51">
        <v>0</v>
      </c>
      <c r="J99" s="51">
        <v>0</v>
      </c>
    </row>
    <row r="100" spans="1:10">
      <c r="A100" s="85" t="str">
        <f>IF(Referral!B100="Yes", Referral!A100, IF(Referral!B100="No", "Screening Needed", ""))</f>
        <v/>
      </c>
      <c r="B100" s="49"/>
      <c r="C100" s="50"/>
      <c r="D100" s="45"/>
      <c r="E100" s="45"/>
      <c r="F100" s="51"/>
      <c r="G100" s="51"/>
      <c r="H100" s="51">
        <v>0</v>
      </c>
      <c r="I100" s="51">
        <v>0</v>
      </c>
      <c r="J100" s="51">
        <v>0</v>
      </c>
    </row>
    <row r="101" spans="1:10">
      <c r="A101" s="85" t="str">
        <f>IF(Referral!B101="Yes", Referral!A101, IF(Referral!B101="No", "Screening Needed", ""))</f>
        <v/>
      </c>
      <c r="B101" s="49"/>
      <c r="C101" s="50"/>
      <c r="D101" s="45"/>
      <c r="E101" s="45"/>
      <c r="F101" s="51"/>
      <c r="G101" s="51"/>
      <c r="H101" s="51">
        <v>0</v>
      </c>
      <c r="I101" s="51">
        <v>0</v>
      </c>
      <c r="J101" s="51">
        <v>0</v>
      </c>
    </row>
    <row r="102" spans="1:10">
      <c r="A102" s="85" t="str">
        <f>IF(Referral!B102="Yes", Referral!A102, IF(Referral!B102="No", "Screening Needed", ""))</f>
        <v/>
      </c>
      <c r="B102" s="49"/>
      <c r="C102" s="50"/>
      <c r="D102" s="45"/>
      <c r="E102" s="45"/>
      <c r="F102" s="51"/>
      <c r="G102" s="51"/>
      <c r="H102" s="51">
        <v>0</v>
      </c>
      <c r="I102" s="51">
        <v>0</v>
      </c>
      <c r="J102" s="51">
        <v>0</v>
      </c>
    </row>
    <row r="103" spans="1:10">
      <c r="A103" s="85" t="str">
        <f>IF(Referral!B103="Yes", Referral!A103, IF(Referral!B103="No", "Screening Needed", ""))</f>
        <v/>
      </c>
      <c r="B103" s="49"/>
      <c r="C103" s="50"/>
      <c r="D103" s="45"/>
      <c r="E103" s="45"/>
      <c r="F103" s="51"/>
      <c r="G103" s="51"/>
      <c r="H103" s="51">
        <v>0</v>
      </c>
      <c r="I103" s="51">
        <v>0</v>
      </c>
      <c r="J103" s="51">
        <v>0</v>
      </c>
    </row>
    <row r="104" spans="1:10">
      <c r="A104" s="85" t="str">
        <f>IF(Referral!B104="Yes", Referral!A104, IF(Referral!B104="No", "Screening Needed", ""))</f>
        <v/>
      </c>
      <c r="B104" s="49"/>
      <c r="C104" s="50"/>
      <c r="D104" s="45"/>
      <c r="E104" s="45"/>
      <c r="F104" s="51"/>
      <c r="G104" s="51"/>
      <c r="H104" s="51">
        <v>0</v>
      </c>
      <c r="I104" s="51">
        <v>0</v>
      </c>
      <c r="J104" s="51">
        <v>0</v>
      </c>
    </row>
    <row r="105" spans="1:10">
      <c r="A105" s="85" t="str">
        <f>IF(Referral!B105="Yes", Referral!A105, IF(Referral!B105="No", "Screening Needed", ""))</f>
        <v/>
      </c>
      <c r="B105" s="49"/>
      <c r="C105" s="50"/>
      <c r="D105" s="45"/>
      <c r="E105" s="45"/>
      <c r="F105" s="51"/>
      <c r="G105" s="51"/>
      <c r="H105" s="51">
        <v>0</v>
      </c>
      <c r="I105" s="51">
        <v>0</v>
      </c>
      <c r="J105" s="51">
        <v>0</v>
      </c>
    </row>
    <row r="106" spans="1:10">
      <c r="A106" s="85" t="str">
        <f>IF(Referral!B106="Yes", Referral!A106, IF(Referral!B106="No", "Screening Needed", ""))</f>
        <v/>
      </c>
      <c r="B106" s="49"/>
      <c r="C106" s="50"/>
      <c r="D106" s="45"/>
      <c r="E106" s="45"/>
      <c r="F106" s="51"/>
      <c r="G106" s="51"/>
      <c r="H106" s="51">
        <v>0</v>
      </c>
      <c r="I106" s="51">
        <v>0</v>
      </c>
      <c r="J106" s="51">
        <v>0</v>
      </c>
    </row>
    <row r="107" spans="1:10">
      <c r="A107" s="85" t="str">
        <f>IF(Referral!B107="Yes", Referral!A107, IF(Referral!B107="No", "Screening Needed", ""))</f>
        <v/>
      </c>
      <c r="B107" s="49"/>
      <c r="C107" s="50"/>
      <c r="D107" s="45"/>
      <c r="E107" s="45"/>
      <c r="F107" s="51"/>
      <c r="G107" s="51"/>
      <c r="H107" s="51">
        <v>0</v>
      </c>
      <c r="I107" s="51">
        <v>0</v>
      </c>
      <c r="J107" s="51">
        <v>0</v>
      </c>
    </row>
    <row r="108" spans="1:10">
      <c r="A108" s="85" t="str">
        <f>IF(Referral!B108="Yes", Referral!A108, IF(Referral!B108="No", "Screening Needed", ""))</f>
        <v/>
      </c>
      <c r="B108" s="49"/>
      <c r="C108" s="50"/>
      <c r="D108" s="45"/>
      <c r="E108" s="45"/>
      <c r="F108" s="51"/>
      <c r="G108" s="51"/>
      <c r="H108" s="51">
        <v>0</v>
      </c>
      <c r="I108" s="51">
        <v>0</v>
      </c>
      <c r="J108" s="51">
        <v>0</v>
      </c>
    </row>
    <row r="109" spans="1:10">
      <c r="A109" s="85" t="str">
        <f>IF(Referral!B109="Yes", Referral!A109, IF(Referral!B109="No", "Screening Needed", ""))</f>
        <v/>
      </c>
      <c r="B109" s="49"/>
      <c r="C109" s="50"/>
      <c r="D109" s="45"/>
      <c r="E109" s="45"/>
      <c r="F109" s="51"/>
      <c r="G109" s="51"/>
      <c r="H109" s="51">
        <v>0</v>
      </c>
      <c r="I109" s="51">
        <v>0</v>
      </c>
      <c r="J109" s="51">
        <v>0</v>
      </c>
    </row>
    <row r="110" spans="1:10">
      <c r="A110" s="85" t="str">
        <f>IF(Referral!B110="Yes", Referral!A110, IF(Referral!B110="No", "Screening Needed", ""))</f>
        <v/>
      </c>
      <c r="B110" s="49"/>
      <c r="C110" s="50"/>
      <c r="D110" s="45"/>
      <c r="E110" s="45"/>
      <c r="F110" s="51"/>
      <c r="G110" s="51"/>
      <c r="H110" s="51">
        <v>0</v>
      </c>
      <c r="I110" s="51">
        <v>0</v>
      </c>
      <c r="J110" s="51">
        <v>0</v>
      </c>
    </row>
    <row r="111" spans="1:10">
      <c r="A111" s="85" t="str">
        <f>IF(Referral!B111="Yes", Referral!A111, IF(Referral!B111="No", "Screening Needed", ""))</f>
        <v/>
      </c>
      <c r="B111" s="49"/>
      <c r="C111" s="50"/>
      <c r="D111" s="45"/>
      <c r="E111" s="45"/>
      <c r="F111" s="51"/>
      <c r="G111" s="51"/>
      <c r="H111" s="51">
        <v>0</v>
      </c>
      <c r="I111" s="51">
        <v>0</v>
      </c>
      <c r="J111" s="51">
        <v>0</v>
      </c>
    </row>
    <row r="112" spans="1:10">
      <c r="A112" s="85" t="str">
        <f>IF(Referral!B112="Yes", Referral!A112, IF(Referral!B112="No", "Screening Needed", ""))</f>
        <v/>
      </c>
      <c r="B112" s="49"/>
      <c r="C112" s="50"/>
      <c r="D112" s="45"/>
      <c r="E112" s="45"/>
      <c r="F112" s="51"/>
      <c r="G112" s="51"/>
      <c r="H112" s="51">
        <v>0</v>
      </c>
      <c r="I112" s="51">
        <v>0</v>
      </c>
      <c r="J112" s="51">
        <v>0</v>
      </c>
    </row>
    <row r="113" spans="1:10">
      <c r="A113" s="85" t="str">
        <f>IF(Referral!B113="Yes", Referral!A113, IF(Referral!B113="No", "Screening Needed", ""))</f>
        <v/>
      </c>
      <c r="B113" s="49"/>
      <c r="C113" s="50"/>
      <c r="D113" s="45"/>
      <c r="E113" s="45"/>
      <c r="F113" s="51"/>
      <c r="G113" s="51"/>
      <c r="H113" s="51">
        <v>0</v>
      </c>
      <c r="I113" s="51">
        <v>0</v>
      </c>
      <c r="J113" s="51">
        <v>0</v>
      </c>
    </row>
    <row r="114" spans="1:10">
      <c r="A114" s="85" t="str">
        <f>IF(Referral!B114="Yes", Referral!A114, IF(Referral!B114="No", "Screening Needed", ""))</f>
        <v/>
      </c>
      <c r="B114" s="49"/>
      <c r="C114" s="50"/>
      <c r="D114" s="45"/>
      <c r="E114" s="45"/>
      <c r="F114" s="51"/>
      <c r="G114" s="51"/>
      <c r="H114" s="51">
        <v>0</v>
      </c>
      <c r="I114" s="51">
        <v>0</v>
      </c>
      <c r="J114" s="51">
        <v>0</v>
      </c>
    </row>
    <row r="115" spans="1:10">
      <c r="A115" s="85" t="str">
        <f>IF(Referral!B115="Yes", Referral!A115, IF(Referral!B115="No", "Screening Needed", ""))</f>
        <v/>
      </c>
      <c r="B115" s="49"/>
      <c r="C115" s="50"/>
      <c r="D115" s="45"/>
      <c r="E115" s="45"/>
      <c r="F115" s="51"/>
      <c r="G115" s="51"/>
      <c r="H115" s="51">
        <v>0</v>
      </c>
      <c r="I115" s="51">
        <v>0</v>
      </c>
      <c r="J115" s="51">
        <v>0</v>
      </c>
    </row>
    <row r="116" spans="1:10">
      <c r="A116" s="85" t="str">
        <f>IF(Referral!B116="Yes", Referral!A116, IF(Referral!B116="No", "Screening Needed", ""))</f>
        <v/>
      </c>
      <c r="B116" s="49"/>
      <c r="C116" s="50"/>
      <c r="D116" s="45"/>
      <c r="E116" s="45"/>
      <c r="F116" s="51"/>
      <c r="G116" s="51"/>
      <c r="H116" s="51">
        <v>0</v>
      </c>
      <c r="I116" s="51">
        <v>0</v>
      </c>
      <c r="J116" s="51">
        <v>0</v>
      </c>
    </row>
    <row r="117" spans="1:10">
      <c r="A117" s="85" t="str">
        <f>IF(Referral!B117="Yes", Referral!A117, IF(Referral!B117="No", "Screening Needed", ""))</f>
        <v/>
      </c>
      <c r="B117" s="49"/>
      <c r="C117" s="50"/>
      <c r="D117" s="45"/>
      <c r="E117" s="45"/>
      <c r="F117" s="51"/>
      <c r="G117" s="51"/>
      <c r="H117" s="51">
        <v>0</v>
      </c>
      <c r="I117" s="51">
        <v>0</v>
      </c>
      <c r="J117" s="51">
        <v>0</v>
      </c>
    </row>
    <row r="118" spans="1:10">
      <c r="A118" s="85" t="str">
        <f>IF(Referral!B118="Yes", Referral!A118, IF(Referral!B118="No", "Screening Needed", ""))</f>
        <v/>
      </c>
      <c r="B118" s="49"/>
      <c r="C118" s="50"/>
      <c r="D118" s="45"/>
      <c r="E118" s="45"/>
      <c r="F118" s="51"/>
      <c r="G118" s="51"/>
      <c r="H118" s="51">
        <v>0</v>
      </c>
      <c r="I118" s="51">
        <v>0</v>
      </c>
      <c r="J118" s="51">
        <v>0</v>
      </c>
    </row>
    <row r="119" spans="1:10">
      <c r="A119" s="85" t="str">
        <f>IF(Referral!B119="Yes", Referral!A119, IF(Referral!B119="No", "Screening Needed", ""))</f>
        <v/>
      </c>
      <c r="B119" s="49"/>
      <c r="C119" s="50"/>
      <c r="D119" s="45"/>
      <c r="E119" s="45"/>
      <c r="F119" s="51"/>
      <c r="G119" s="51"/>
      <c r="H119" s="51">
        <v>0</v>
      </c>
      <c r="I119" s="51">
        <v>0</v>
      </c>
      <c r="J119" s="51">
        <v>0</v>
      </c>
    </row>
    <row r="120" spans="1:10">
      <c r="A120" s="85" t="str">
        <f>IF(Referral!B120="Yes", Referral!A120, IF(Referral!B120="No", "Screening Needed", ""))</f>
        <v/>
      </c>
      <c r="B120" s="49"/>
      <c r="C120" s="50"/>
      <c r="D120" s="45"/>
      <c r="E120" s="45"/>
      <c r="F120" s="51"/>
      <c r="G120" s="51"/>
      <c r="H120" s="51">
        <v>0</v>
      </c>
      <c r="I120" s="51">
        <v>0</v>
      </c>
      <c r="J120" s="51">
        <v>0</v>
      </c>
    </row>
    <row r="121" spans="1:10">
      <c r="A121" s="85" t="str">
        <f>IF(Referral!B121="Yes", Referral!A121, IF(Referral!B121="No", "Screening Needed", ""))</f>
        <v/>
      </c>
      <c r="B121" s="49"/>
      <c r="C121" s="50"/>
      <c r="D121" s="45"/>
      <c r="E121" s="45"/>
      <c r="F121" s="51"/>
      <c r="G121" s="51"/>
      <c r="H121" s="51">
        <v>0</v>
      </c>
      <c r="I121" s="51">
        <v>0</v>
      </c>
      <c r="J121" s="51">
        <v>0</v>
      </c>
    </row>
    <row r="122" spans="1:10">
      <c r="A122" s="85" t="str">
        <f>IF(Referral!B122="Yes", Referral!A122, IF(Referral!B122="No", "Screening Needed", ""))</f>
        <v/>
      </c>
      <c r="B122" s="49"/>
      <c r="C122" s="50"/>
      <c r="D122" s="45"/>
      <c r="E122" s="45"/>
      <c r="F122" s="51"/>
      <c r="G122" s="51"/>
      <c r="H122" s="51">
        <v>0</v>
      </c>
      <c r="I122" s="51">
        <v>0</v>
      </c>
      <c r="J122" s="51">
        <v>0</v>
      </c>
    </row>
    <row r="123" spans="1:10">
      <c r="A123" s="85" t="str">
        <f>IF(Referral!B123="Yes", Referral!A123, IF(Referral!B123="No", "Screening Needed", ""))</f>
        <v/>
      </c>
      <c r="B123" s="49"/>
      <c r="C123" s="50"/>
      <c r="D123" s="45"/>
      <c r="E123" s="45"/>
      <c r="F123" s="51"/>
      <c r="G123" s="51"/>
      <c r="H123" s="51">
        <v>0</v>
      </c>
      <c r="I123" s="51">
        <v>0</v>
      </c>
      <c r="J123" s="51">
        <v>0</v>
      </c>
    </row>
    <row r="124" spans="1:10">
      <c r="A124" s="85" t="str">
        <f>IF(Referral!B124="Yes", Referral!A124, IF(Referral!B124="No", "Screening Needed", ""))</f>
        <v/>
      </c>
      <c r="B124" s="49"/>
      <c r="C124" s="50"/>
      <c r="D124" s="45"/>
      <c r="E124" s="45"/>
      <c r="F124" s="51"/>
      <c r="G124" s="51"/>
      <c r="H124" s="51">
        <v>0</v>
      </c>
      <c r="I124" s="51">
        <v>0</v>
      </c>
      <c r="J124" s="51">
        <v>0</v>
      </c>
    </row>
    <row r="125" spans="1:10">
      <c r="A125" s="85" t="str">
        <f>IF(Referral!B125="Yes", Referral!A125, IF(Referral!B125="No", "Screening Needed", ""))</f>
        <v/>
      </c>
      <c r="B125" s="49"/>
      <c r="C125" s="50"/>
      <c r="D125" s="45"/>
      <c r="E125" s="45"/>
      <c r="F125" s="51"/>
      <c r="G125" s="51"/>
      <c r="H125" s="51">
        <v>0</v>
      </c>
      <c r="I125" s="51">
        <v>0</v>
      </c>
      <c r="J125" s="51">
        <v>0</v>
      </c>
    </row>
    <row r="126" spans="1:10">
      <c r="A126" s="85" t="str">
        <f>IF(Referral!B126="Yes", Referral!A126, IF(Referral!B126="No", "Screening Needed", ""))</f>
        <v/>
      </c>
      <c r="B126" s="49"/>
      <c r="C126" s="50"/>
      <c r="D126" s="45"/>
      <c r="E126" s="45"/>
      <c r="F126" s="51"/>
      <c r="G126" s="51"/>
      <c r="H126" s="51">
        <v>0</v>
      </c>
      <c r="I126" s="51">
        <v>0</v>
      </c>
      <c r="J126" s="51">
        <v>0</v>
      </c>
    </row>
    <row r="127" spans="1:10">
      <c r="A127" s="85" t="str">
        <f>IF(Referral!B127="Yes", Referral!A127, IF(Referral!B127="No", "Screening Needed", ""))</f>
        <v/>
      </c>
      <c r="B127" s="49"/>
      <c r="C127" s="50"/>
      <c r="D127" s="45"/>
      <c r="E127" s="45"/>
      <c r="F127" s="51"/>
      <c r="G127" s="51"/>
      <c r="H127" s="51">
        <v>0</v>
      </c>
      <c r="I127" s="51">
        <v>0</v>
      </c>
      <c r="J127" s="51">
        <v>0</v>
      </c>
    </row>
    <row r="128" spans="1:10">
      <c r="A128" s="85" t="str">
        <f>IF(Referral!B128="Yes", Referral!A128, IF(Referral!B128="No", "Screening Needed", ""))</f>
        <v/>
      </c>
      <c r="B128" s="49"/>
      <c r="C128" s="50"/>
      <c r="D128" s="45"/>
      <c r="E128" s="45"/>
      <c r="F128" s="51"/>
      <c r="G128" s="51"/>
      <c r="H128" s="51">
        <v>0</v>
      </c>
      <c r="I128" s="51">
        <v>0</v>
      </c>
      <c r="J128" s="51">
        <v>0</v>
      </c>
    </row>
    <row r="129" spans="1:10">
      <c r="A129" s="85" t="str">
        <f>IF(Referral!B129="Yes", Referral!A129, IF(Referral!B129="No", "Screening Needed", ""))</f>
        <v/>
      </c>
      <c r="B129" s="49"/>
      <c r="C129" s="50"/>
      <c r="D129" s="45"/>
      <c r="E129" s="45"/>
      <c r="F129" s="51"/>
      <c r="G129" s="51"/>
      <c r="H129" s="51">
        <v>0</v>
      </c>
      <c r="I129" s="51">
        <v>0</v>
      </c>
      <c r="J129" s="51">
        <v>0</v>
      </c>
    </row>
    <row r="130" spans="1:10">
      <c r="A130" s="85" t="str">
        <f>IF(Referral!B130="Yes", Referral!A130, IF(Referral!B130="No", "Screening Needed", ""))</f>
        <v/>
      </c>
      <c r="B130" s="49"/>
      <c r="C130" s="50"/>
      <c r="D130" s="45"/>
      <c r="E130" s="45"/>
      <c r="F130" s="51"/>
      <c r="G130" s="51"/>
      <c r="H130" s="51">
        <v>0</v>
      </c>
      <c r="I130" s="51">
        <v>0</v>
      </c>
      <c r="J130" s="51">
        <v>0</v>
      </c>
    </row>
    <row r="131" spans="1:10">
      <c r="A131" s="85" t="str">
        <f>IF(Referral!B131="Yes", Referral!A131, IF(Referral!B131="No", "Screening Needed", ""))</f>
        <v/>
      </c>
      <c r="B131" s="49"/>
      <c r="C131" s="50"/>
      <c r="D131" s="45"/>
      <c r="E131" s="45"/>
      <c r="F131" s="51"/>
      <c r="G131" s="51"/>
      <c r="H131" s="51">
        <v>0</v>
      </c>
      <c r="I131" s="51">
        <v>0</v>
      </c>
      <c r="J131" s="51">
        <v>0</v>
      </c>
    </row>
    <row r="132" spans="1:10">
      <c r="A132" s="85" t="str">
        <f>IF(Referral!B132="Yes", Referral!A132, IF(Referral!B132="No", "Screening Needed", ""))</f>
        <v/>
      </c>
      <c r="B132" s="49"/>
      <c r="C132" s="50"/>
      <c r="D132" s="45"/>
      <c r="E132" s="45"/>
      <c r="F132" s="51"/>
      <c r="G132" s="51"/>
      <c r="H132" s="51">
        <v>0</v>
      </c>
      <c r="I132" s="51">
        <v>0</v>
      </c>
      <c r="J132" s="51">
        <v>0</v>
      </c>
    </row>
    <row r="133" spans="1:10">
      <c r="A133" s="85" t="str">
        <f>IF(Referral!B133="Yes", Referral!A133, IF(Referral!B133="No", "Screening Needed", ""))</f>
        <v/>
      </c>
      <c r="B133" s="49"/>
      <c r="C133" s="50"/>
      <c r="D133" s="45"/>
      <c r="E133" s="45"/>
      <c r="F133" s="51"/>
      <c r="G133" s="51"/>
      <c r="H133" s="51">
        <v>0</v>
      </c>
      <c r="I133" s="51">
        <v>0</v>
      </c>
      <c r="J133" s="51">
        <v>0</v>
      </c>
    </row>
    <row r="134" spans="1:10">
      <c r="A134" s="85" t="str">
        <f>IF(Referral!B134="Yes", Referral!A134, IF(Referral!B134="No", "Screening Needed", ""))</f>
        <v/>
      </c>
      <c r="B134" s="49"/>
      <c r="C134" s="50"/>
      <c r="D134" s="45"/>
      <c r="E134" s="45"/>
      <c r="F134" s="51"/>
      <c r="G134" s="51"/>
      <c r="H134" s="51">
        <v>0</v>
      </c>
      <c r="I134" s="51">
        <v>0</v>
      </c>
      <c r="J134" s="51">
        <v>0</v>
      </c>
    </row>
    <row r="135" spans="1:10">
      <c r="A135" s="85" t="str">
        <f>IF(Referral!B135="Yes", Referral!A135, IF(Referral!B135="No", "Screening Needed", ""))</f>
        <v/>
      </c>
      <c r="B135" s="49"/>
      <c r="C135" s="50"/>
      <c r="D135" s="45"/>
      <c r="E135" s="45"/>
      <c r="F135" s="51"/>
      <c r="G135" s="51"/>
      <c r="H135" s="51">
        <v>0</v>
      </c>
      <c r="I135" s="51">
        <v>0</v>
      </c>
      <c r="J135" s="51">
        <v>0</v>
      </c>
    </row>
    <row r="136" spans="1:10">
      <c r="A136" s="85" t="str">
        <f>IF(Referral!B136="Yes", Referral!A136, IF(Referral!B136="No", "Screening Needed", ""))</f>
        <v/>
      </c>
      <c r="B136" s="49"/>
      <c r="C136" s="50"/>
      <c r="D136" s="45"/>
      <c r="E136" s="45"/>
      <c r="F136" s="51"/>
      <c r="G136" s="51"/>
      <c r="H136" s="51">
        <v>0</v>
      </c>
      <c r="I136" s="51">
        <v>0</v>
      </c>
      <c r="J136" s="51">
        <v>0</v>
      </c>
    </row>
    <row r="137" spans="1:10">
      <c r="A137" s="85" t="str">
        <f>IF(Referral!B137="Yes", Referral!A137, IF(Referral!B137="No", "Screening Needed", ""))</f>
        <v/>
      </c>
      <c r="B137" s="49"/>
      <c r="C137" s="50"/>
      <c r="D137" s="45"/>
      <c r="E137" s="45"/>
      <c r="F137" s="51"/>
      <c r="G137" s="51"/>
      <c r="H137" s="51">
        <v>0</v>
      </c>
      <c r="I137" s="51">
        <v>0</v>
      </c>
      <c r="J137" s="51">
        <v>0</v>
      </c>
    </row>
    <row r="138" spans="1:10">
      <c r="A138" s="85" t="str">
        <f>IF(Referral!B138="Yes", Referral!A138, IF(Referral!B138="No", "Screening Needed", ""))</f>
        <v/>
      </c>
      <c r="B138" s="49"/>
      <c r="C138" s="50"/>
      <c r="D138" s="45"/>
      <c r="E138" s="45"/>
      <c r="F138" s="51"/>
      <c r="G138" s="51"/>
      <c r="H138" s="51">
        <v>0</v>
      </c>
      <c r="I138" s="51">
        <v>0</v>
      </c>
      <c r="J138" s="51">
        <v>0</v>
      </c>
    </row>
    <row r="139" spans="1:10">
      <c r="A139" s="85" t="str">
        <f>IF(Referral!B139="Yes", Referral!A139, IF(Referral!B139="No", "Screening Needed", ""))</f>
        <v/>
      </c>
      <c r="B139" s="49"/>
      <c r="C139" s="50"/>
      <c r="D139" s="45"/>
      <c r="E139" s="45"/>
      <c r="F139" s="51"/>
      <c r="G139" s="51"/>
      <c r="H139" s="51">
        <v>0</v>
      </c>
      <c r="I139" s="51">
        <v>0</v>
      </c>
      <c r="J139" s="51">
        <v>0</v>
      </c>
    </row>
    <row r="140" spans="1:10">
      <c r="A140" s="85" t="str">
        <f>IF(Referral!B140="Yes", Referral!A140, IF(Referral!B140="No", "Screening Needed", ""))</f>
        <v/>
      </c>
      <c r="B140" s="49"/>
      <c r="C140" s="50"/>
      <c r="D140" s="45"/>
      <c r="E140" s="45"/>
      <c r="F140" s="51"/>
      <c r="G140" s="51"/>
      <c r="H140" s="51">
        <v>0</v>
      </c>
      <c r="I140" s="51">
        <v>0</v>
      </c>
      <c r="J140" s="51">
        <v>0</v>
      </c>
    </row>
    <row r="141" spans="1:10">
      <c r="A141" s="85" t="str">
        <f>IF(Referral!B141="Yes", Referral!A141, IF(Referral!B141="No", "Screening Needed", ""))</f>
        <v/>
      </c>
      <c r="B141" s="49"/>
      <c r="C141" s="50"/>
      <c r="D141" s="45"/>
      <c r="E141" s="45"/>
      <c r="F141" s="51"/>
      <c r="G141" s="51"/>
      <c r="H141" s="51">
        <v>0</v>
      </c>
      <c r="I141" s="51">
        <v>0</v>
      </c>
      <c r="J141" s="51">
        <v>0</v>
      </c>
    </row>
    <row r="142" spans="1:10">
      <c r="A142" s="85" t="str">
        <f>IF(Referral!B142="Yes", Referral!A142, IF(Referral!B142="No", "Screening Needed", ""))</f>
        <v/>
      </c>
      <c r="B142" s="49"/>
      <c r="C142" s="50"/>
      <c r="D142" s="45"/>
      <c r="E142" s="45"/>
      <c r="F142" s="51"/>
      <c r="G142" s="51"/>
      <c r="H142" s="51">
        <v>0</v>
      </c>
      <c r="I142" s="51">
        <v>0</v>
      </c>
      <c r="J142" s="51">
        <v>0</v>
      </c>
    </row>
    <row r="143" spans="1:10">
      <c r="A143" s="85" t="str">
        <f>IF(Referral!B143="Yes", Referral!A143, IF(Referral!B143="No", "Screening Needed", ""))</f>
        <v/>
      </c>
      <c r="B143" s="49"/>
      <c r="C143" s="50"/>
      <c r="D143" s="45"/>
      <c r="E143" s="45"/>
      <c r="F143" s="51"/>
      <c r="G143" s="51"/>
      <c r="H143" s="51">
        <v>0</v>
      </c>
      <c r="I143" s="51">
        <v>0</v>
      </c>
      <c r="J143" s="51">
        <v>0</v>
      </c>
    </row>
    <row r="144" spans="1:10">
      <c r="A144" s="85" t="str">
        <f>IF(Referral!B144="Yes", Referral!A144, IF(Referral!B144="No", "Screening Needed", ""))</f>
        <v/>
      </c>
      <c r="B144" s="49"/>
      <c r="C144" s="50"/>
      <c r="D144" s="45"/>
      <c r="E144" s="45"/>
      <c r="F144" s="51"/>
      <c r="G144" s="51"/>
      <c r="H144" s="51">
        <v>0</v>
      </c>
      <c r="I144" s="51">
        <v>0</v>
      </c>
      <c r="J144" s="51">
        <v>0</v>
      </c>
    </row>
    <row r="145" spans="1:10">
      <c r="A145" s="85" t="str">
        <f>IF(Referral!B145="Yes", Referral!A145, IF(Referral!B145="No", "Screening Needed", ""))</f>
        <v/>
      </c>
      <c r="B145" s="49"/>
      <c r="C145" s="50"/>
      <c r="D145" s="45"/>
      <c r="E145" s="45"/>
      <c r="F145" s="51"/>
      <c r="G145" s="51"/>
      <c r="H145" s="51">
        <v>0</v>
      </c>
      <c r="I145" s="51">
        <v>0</v>
      </c>
      <c r="J145" s="51">
        <v>0</v>
      </c>
    </row>
    <row r="146" spans="1:10">
      <c r="A146" s="85" t="str">
        <f>IF(Referral!B146="Yes", Referral!A146, IF(Referral!B146="No", "Screening Needed", ""))</f>
        <v/>
      </c>
      <c r="B146" s="49"/>
      <c r="C146" s="50"/>
      <c r="D146" s="45"/>
      <c r="E146" s="45"/>
      <c r="F146" s="51"/>
      <c r="G146" s="51"/>
      <c r="H146" s="51">
        <v>0</v>
      </c>
      <c r="I146" s="51">
        <v>0</v>
      </c>
      <c r="J146" s="51">
        <v>0</v>
      </c>
    </row>
    <row r="147" spans="1:10">
      <c r="A147" s="85" t="str">
        <f>IF(Referral!B147="Yes", Referral!A147, IF(Referral!B147="No", "Screening Needed", ""))</f>
        <v/>
      </c>
      <c r="B147" s="49"/>
      <c r="C147" s="50"/>
      <c r="D147" s="45"/>
      <c r="E147" s="45"/>
      <c r="F147" s="51"/>
      <c r="G147" s="51"/>
      <c r="H147" s="51">
        <v>0</v>
      </c>
      <c r="I147" s="51">
        <v>0</v>
      </c>
      <c r="J147" s="51">
        <v>0</v>
      </c>
    </row>
    <row r="148" spans="1:10">
      <c r="A148" s="86" t="str">
        <f>IF(Referral!B148="Yes", Referral!A148, IF(Referral!B148="No", "Screening Needed", ""))</f>
        <v/>
      </c>
      <c r="B148" s="52"/>
      <c r="C148" s="53"/>
      <c r="D148" s="47"/>
      <c r="E148" s="47"/>
      <c r="F148" s="54"/>
      <c r="G148" s="54"/>
      <c r="H148" s="51">
        <v>0</v>
      </c>
      <c r="I148" s="51">
        <v>0</v>
      </c>
      <c r="J148" s="51">
        <v>0</v>
      </c>
    </row>
    <row r="149" spans="1:10">
      <c r="A149" s="85" t="str">
        <f>IF(Referral!B149="Yes", Referral!A149, IF(Referral!B149="No", "Screening Needed", ""))</f>
        <v/>
      </c>
      <c r="B149" s="49"/>
      <c r="C149" s="50"/>
      <c r="D149" s="45"/>
      <c r="E149" s="45"/>
      <c r="F149" s="51"/>
      <c r="G149" s="51"/>
      <c r="H149" s="51">
        <v>0</v>
      </c>
      <c r="I149" s="51">
        <v>0</v>
      </c>
      <c r="J149" s="51">
        <v>0</v>
      </c>
    </row>
    <row r="150" spans="1:10">
      <c r="A150" s="85" t="str">
        <f>IF(Referral!B150="Yes", Referral!A150, IF(Referral!B150="No", "Screening Needed", ""))</f>
        <v/>
      </c>
      <c r="B150" s="49"/>
      <c r="C150" s="50"/>
      <c r="D150" s="45"/>
      <c r="E150" s="45"/>
      <c r="F150" s="51"/>
      <c r="G150" s="51"/>
      <c r="H150" s="51">
        <v>0</v>
      </c>
      <c r="I150" s="51">
        <v>0</v>
      </c>
      <c r="J150" s="51">
        <v>0</v>
      </c>
    </row>
    <row r="151" spans="1:10">
      <c r="A151" s="85" t="str">
        <f>IF(Referral!B151="Yes", Referral!A151, IF(Referral!B151="No", "Screening Needed", ""))</f>
        <v/>
      </c>
      <c r="B151" s="49"/>
      <c r="C151" s="50"/>
      <c r="D151" s="45"/>
      <c r="E151" s="45"/>
      <c r="F151" s="51"/>
      <c r="G151" s="51"/>
      <c r="H151" s="51">
        <v>0</v>
      </c>
      <c r="I151" s="51">
        <v>0</v>
      </c>
      <c r="J151" s="51">
        <v>0</v>
      </c>
    </row>
    <row r="152" spans="1:10">
      <c r="A152" s="85" t="str">
        <f>IF(Referral!B152="Yes", Referral!A152, IF(Referral!B152="No", "Screening Needed", ""))</f>
        <v/>
      </c>
      <c r="B152" s="49"/>
      <c r="C152" s="50"/>
      <c r="D152" s="45"/>
      <c r="E152" s="45"/>
      <c r="F152" s="51"/>
      <c r="G152" s="51"/>
      <c r="H152" s="51">
        <v>0</v>
      </c>
      <c r="I152" s="51">
        <v>0</v>
      </c>
      <c r="J152" s="51">
        <v>0</v>
      </c>
    </row>
    <row r="153" spans="1:10">
      <c r="A153" s="85" t="str">
        <f>IF(Referral!B153="Yes", Referral!A153, IF(Referral!B153="No", "Screening Needed", ""))</f>
        <v/>
      </c>
      <c r="B153" s="49"/>
      <c r="C153" s="50"/>
      <c r="D153" s="45"/>
      <c r="E153" s="45"/>
      <c r="F153" s="51"/>
      <c r="G153" s="51"/>
      <c r="H153" s="51">
        <v>0</v>
      </c>
      <c r="I153" s="51">
        <v>0</v>
      </c>
      <c r="J153" s="51">
        <v>0</v>
      </c>
    </row>
    <row r="154" spans="1:10">
      <c r="A154" s="85" t="str">
        <f>IF(Referral!B154="Yes", Referral!A154, IF(Referral!B154="No", "Screening Needed", ""))</f>
        <v/>
      </c>
      <c r="B154" s="49"/>
      <c r="C154" s="50"/>
      <c r="D154" s="45"/>
      <c r="E154" s="45"/>
      <c r="F154" s="51"/>
      <c r="G154" s="51"/>
      <c r="H154" s="51">
        <v>0</v>
      </c>
      <c r="I154" s="51">
        <v>0</v>
      </c>
      <c r="J154" s="51">
        <v>0</v>
      </c>
    </row>
    <row r="155" spans="1:10">
      <c r="A155" s="85" t="str">
        <f>IF(Referral!B155="Yes", Referral!A155, IF(Referral!B155="No", "Screening Needed", ""))</f>
        <v/>
      </c>
      <c r="B155" s="49"/>
      <c r="C155" s="50"/>
      <c r="D155" s="45"/>
      <c r="E155" s="45"/>
      <c r="F155" s="51"/>
      <c r="G155" s="51"/>
      <c r="H155" s="51">
        <v>0</v>
      </c>
      <c r="I155" s="51">
        <v>0</v>
      </c>
      <c r="J155" s="51">
        <v>0</v>
      </c>
    </row>
    <row r="156" spans="1:10">
      <c r="A156" s="85" t="str">
        <f>IF(Referral!B156="Yes", Referral!A156, IF(Referral!B156="No", "Screening Needed", ""))</f>
        <v/>
      </c>
      <c r="B156" s="49"/>
      <c r="C156" s="50"/>
      <c r="D156" s="45"/>
      <c r="E156" s="45"/>
      <c r="F156" s="51"/>
      <c r="G156" s="51"/>
      <c r="H156" s="51">
        <v>0</v>
      </c>
      <c r="I156" s="51">
        <v>0</v>
      </c>
      <c r="J156" s="51">
        <v>0</v>
      </c>
    </row>
    <row r="157" spans="1:10">
      <c r="A157" s="85" t="str">
        <f>IF(Referral!B157="Yes", Referral!A157, IF(Referral!B157="No", "Screening Needed", ""))</f>
        <v/>
      </c>
      <c r="B157" s="49"/>
      <c r="C157" s="50"/>
      <c r="D157" s="45"/>
      <c r="E157" s="45"/>
      <c r="F157" s="51"/>
      <c r="G157" s="51"/>
      <c r="H157" s="51">
        <v>0</v>
      </c>
      <c r="I157" s="51">
        <v>0</v>
      </c>
      <c r="J157" s="51">
        <v>0</v>
      </c>
    </row>
    <row r="158" spans="1:10">
      <c r="A158" s="85" t="str">
        <f>IF(Referral!B158="Yes", Referral!A158, IF(Referral!B158="No", "Screening Needed", ""))</f>
        <v/>
      </c>
      <c r="B158" s="49"/>
      <c r="C158" s="50"/>
      <c r="D158" s="45"/>
      <c r="E158" s="45"/>
      <c r="F158" s="51"/>
      <c r="G158" s="51"/>
      <c r="H158" s="51">
        <v>0</v>
      </c>
      <c r="I158" s="51">
        <v>0</v>
      </c>
      <c r="J158" s="51">
        <v>0</v>
      </c>
    </row>
    <row r="159" spans="1:10">
      <c r="A159" s="85" t="str">
        <f>IF(Referral!B159="Yes", Referral!A159, IF(Referral!B159="No", "Screening Needed", ""))</f>
        <v/>
      </c>
      <c r="B159" s="49"/>
      <c r="C159" s="50"/>
      <c r="D159" s="45"/>
      <c r="E159" s="45"/>
      <c r="F159" s="51"/>
      <c r="G159" s="51"/>
      <c r="H159" s="51">
        <v>0</v>
      </c>
      <c r="I159" s="51">
        <v>0</v>
      </c>
      <c r="J159" s="51">
        <v>0</v>
      </c>
    </row>
    <row r="160" spans="1:10">
      <c r="A160" s="85" t="str">
        <f>IF(Referral!B160="Yes", Referral!A160, IF(Referral!B160="No", "Screening Needed", ""))</f>
        <v/>
      </c>
      <c r="B160" s="49"/>
      <c r="C160" s="50"/>
      <c r="D160" s="45"/>
      <c r="E160" s="45"/>
      <c r="F160" s="51"/>
      <c r="G160" s="51"/>
      <c r="H160" s="51">
        <v>0</v>
      </c>
      <c r="I160" s="51">
        <v>0</v>
      </c>
      <c r="J160" s="51">
        <v>0</v>
      </c>
    </row>
    <row r="161" spans="1:10">
      <c r="A161" s="85" t="str">
        <f>IF(Referral!B161="Yes", Referral!A161, IF(Referral!B161="No", "Screening Needed", ""))</f>
        <v/>
      </c>
      <c r="B161" s="49"/>
      <c r="C161" s="50"/>
      <c r="D161" s="45"/>
      <c r="E161" s="45"/>
      <c r="F161" s="51"/>
      <c r="G161" s="51"/>
      <c r="H161" s="51">
        <v>0</v>
      </c>
      <c r="I161" s="51">
        <v>0</v>
      </c>
      <c r="J161" s="51">
        <v>0</v>
      </c>
    </row>
    <row r="162" spans="1:10">
      <c r="A162" s="85" t="str">
        <f>IF(Referral!B162="Yes", Referral!A162, IF(Referral!B162="No", "Screening Needed", ""))</f>
        <v/>
      </c>
      <c r="B162" s="49"/>
      <c r="C162" s="50"/>
      <c r="D162" s="45"/>
      <c r="E162" s="45"/>
      <c r="F162" s="51"/>
      <c r="G162" s="51"/>
      <c r="H162" s="51">
        <v>0</v>
      </c>
      <c r="I162" s="51">
        <v>0</v>
      </c>
      <c r="J162" s="51">
        <v>0</v>
      </c>
    </row>
    <row r="163" spans="1:10">
      <c r="A163" s="85" t="str">
        <f>IF(Referral!B163="Yes", Referral!A163, IF(Referral!B163="No", "Screening Needed", ""))</f>
        <v/>
      </c>
      <c r="B163" s="49"/>
      <c r="C163" s="50"/>
      <c r="D163" s="45"/>
      <c r="E163" s="45"/>
      <c r="F163" s="51"/>
      <c r="G163" s="51"/>
      <c r="H163" s="51">
        <v>0</v>
      </c>
      <c r="I163" s="51">
        <v>0</v>
      </c>
      <c r="J163" s="51">
        <v>0</v>
      </c>
    </row>
    <row r="164" spans="1:10">
      <c r="A164" s="85" t="str">
        <f>IF(Referral!B164="Yes", Referral!A164, IF(Referral!B164="No", "Screening Needed", ""))</f>
        <v/>
      </c>
      <c r="B164" s="49"/>
      <c r="C164" s="50"/>
      <c r="D164" s="45"/>
      <c r="E164" s="45"/>
      <c r="F164" s="51"/>
      <c r="G164" s="51"/>
      <c r="H164" s="51">
        <v>0</v>
      </c>
      <c r="I164" s="51">
        <v>0</v>
      </c>
      <c r="J164" s="51">
        <v>0</v>
      </c>
    </row>
    <row r="165" spans="1:10">
      <c r="A165" s="85" t="str">
        <f>IF(Referral!B165="Yes", Referral!A165, IF(Referral!B165="No", "Screening Needed", ""))</f>
        <v/>
      </c>
      <c r="B165" s="49"/>
      <c r="C165" s="50"/>
      <c r="D165" s="45"/>
      <c r="E165" s="45"/>
      <c r="F165" s="51"/>
      <c r="G165" s="51"/>
      <c r="H165" s="51">
        <v>0</v>
      </c>
      <c r="I165" s="51">
        <v>0</v>
      </c>
      <c r="J165" s="51">
        <v>0</v>
      </c>
    </row>
    <row r="166" spans="1:10">
      <c r="A166" s="85" t="str">
        <f>IF(Referral!B166="Yes", Referral!A166, IF(Referral!B166="No", "Screening Needed", ""))</f>
        <v/>
      </c>
      <c r="B166" s="49"/>
      <c r="C166" s="50"/>
      <c r="D166" s="45"/>
      <c r="E166" s="45"/>
      <c r="F166" s="51"/>
      <c r="G166" s="51"/>
      <c r="H166" s="51">
        <v>0</v>
      </c>
      <c r="I166" s="51">
        <v>0</v>
      </c>
      <c r="J166" s="51">
        <v>0</v>
      </c>
    </row>
    <row r="167" spans="1:10">
      <c r="A167" s="85" t="str">
        <f>IF(Referral!B167="Yes", Referral!A167, IF(Referral!B167="No", "Screening Needed", ""))</f>
        <v/>
      </c>
      <c r="B167" s="49"/>
      <c r="C167" s="50"/>
      <c r="D167" s="45"/>
      <c r="E167" s="45"/>
      <c r="F167" s="51"/>
      <c r="G167" s="51"/>
      <c r="H167" s="51">
        <v>0</v>
      </c>
      <c r="I167" s="51">
        <v>0</v>
      </c>
      <c r="J167" s="51">
        <v>0</v>
      </c>
    </row>
    <row r="168" spans="1:10">
      <c r="A168" s="85" t="str">
        <f>IF(Referral!B168="Yes", Referral!A168, IF(Referral!B168="No", "Screening Needed", ""))</f>
        <v/>
      </c>
      <c r="B168" s="49"/>
      <c r="C168" s="50"/>
      <c r="D168" s="45"/>
      <c r="E168" s="45"/>
      <c r="F168" s="51"/>
      <c r="G168" s="51"/>
      <c r="H168" s="51">
        <v>0</v>
      </c>
      <c r="I168" s="51">
        <v>0</v>
      </c>
      <c r="J168" s="51">
        <v>0</v>
      </c>
    </row>
    <row r="169" spans="1:10">
      <c r="A169" s="85" t="str">
        <f>IF(Referral!B169="Yes", Referral!A169, IF(Referral!B169="No", "Screening Needed", ""))</f>
        <v/>
      </c>
      <c r="B169" s="49"/>
      <c r="C169" s="50"/>
      <c r="D169" s="45"/>
      <c r="E169" s="45"/>
      <c r="F169" s="51"/>
      <c r="G169" s="51"/>
      <c r="H169" s="51">
        <v>0</v>
      </c>
      <c r="I169" s="51">
        <v>0</v>
      </c>
      <c r="J169" s="51">
        <v>0</v>
      </c>
    </row>
    <row r="170" spans="1:10">
      <c r="A170" s="85" t="str">
        <f>IF(Referral!B170="Yes", Referral!A170, IF(Referral!B170="No", "Screening Needed", ""))</f>
        <v/>
      </c>
      <c r="B170" s="49"/>
      <c r="C170" s="50"/>
      <c r="D170" s="45"/>
      <c r="E170" s="45"/>
      <c r="F170" s="51"/>
      <c r="G170" s="51"/>
      <c r="H170" s="51">
        <v>0</v>
      </c>
      <c r="I170" s="51">
        <v>0</v>
      </c>
      <c r="J170" s="51">
        <v>0</v>
      </c>
    </row>
    <row r="171" spans="1:10">
      <c r="A171" s="85" t="str">
        <f>IF(Referral!B171="Yes", Referral!A171, IF(Referral!B171="No", "Screening Needed", ""))</f>
        <v/>
      </c>
      <c r="B171" s="49"/>
      <c r="C171" s="50"/>
      <c r="D171" s="45"/>
      <c r="E171" s="45"/>
      <c r="F171" s="51"/>
      <c r="G171" s="51"/>
      <c r="H171" s="51">
        <v>0</v>
      </c>
      <c r="I171" s="51">
        <v>0</v>
      </c>
      <c r="J171" s="51">
        <v>0</v>
      </c>
    </row>
    <row r="172" spans="1:10">
      <c r="A172" s="85" t="str">
        <f>IF(Referral!B172="Yes", Referral!A172, IF(Referral!B172="No", "Screening Needed", ""))</f>
        <v/>
      </c>
      <c r="B172" s="49"/>
      <c r="C172" s="50"/>
      <c r="D172" s="45"/>
      <c r="E172" s="45"/>
      <c r="F172" s="51"/>
      <c r="G172" s="51"/>
      <c r="H172" s="51">
        <v>0</v>
      </c>
      <c r="I172" s="51">
        <v>0</v>
      </c>
      <c r="J172" s="51">
        <v>0</v>
      </c>
    </row>
    <row r="173" spans="1:10">
      <c r="A173" s="85" t="str">
        <f>IF(Referral!B173="Yes", Referral!A173, IF(Referral!B173="No", "Screening Needed", ""))</f>
        <v/>
      </c>
      <c r="B173" s="49"/>
      <c r="C173" s="50"/>
      <c r="D173" s="45"/>
      <c r="E173" s="45"/>
      <c r="F173" s="51"/>
      <c r="G173" s="51"/>
      <c r="H173" s="51">
        <v>0</v>
      </c>
      <c r="I173" s="51">
        <v>0</v>
      </c>
      <c r="J173" s="51">
        <v>0</v>
      </c>
    </row>
    <row r="174" spans="1:10">
      <c r="A174" s="85" t="str">
        <f>IF(Referral!B174="Yes", Referral!A174, IF(Referral!B174="No", "Screening Needed", ""))</f>
        <v/>
      </c>
      <c r="B174" s="49"/>
      <c r="C174" s="50"/>
      <c r="D174" s="45"/>
      <c r="E174" s="45"/>
      <c r="F174" s="51"/>
      <c r="G174" s="51"/>
      <c r="H174" s="51">
        <v>0</v>
      </c>
      <c r="I174" s="51">
        <v>0</v>
      </c>
      <c r="J174" s="51">
        <v>0</v>
      </c>
    </row>
    <row r="175" spans="1:10">
      <c r="A175" s="85" t="str">
        <f>IF(Referral!B175="Yes", Referral!A175, IF(Referral!B175="No", "Screening Needed", ""))</f>
        <v/>
      </c>
      <c r="B175" s="49"/>
      <c r="C175" s="50"/>
      <c r="D175" s="45"/>
      <c r="E175" s="45"/>
      <c r="F175" s="51"/>
      <c r="G175" s="51"/>
      <c r="H175" s="51">
        <v>0</v>
      </c>
      <c r="I175" s="51">
        <v>0</v>
      </c>
      <c r="J175" s="51">
        <v>0</v>
      </c>
    </row>
    <row r="176" spans="1:10">
      <c r="A176" s="85" t="str">
        <f>IF(Referral!B176="Yes", Referral!A176, IF(Referral!B176="No", "Screening Needed", ""))</f>
        <v/>
      </c>
      <c r="B176" s="49"/>
      <c r="C176" s="50"/>
      <c r="D176" s="45"/>
      <c r="E176" s="45"/>
      <c r="F176" s="51"/>
      <c r="G176" s="51"/>
      <c r="H176" s="51">
        <v>0</v>
      </c>
      <c r="I176" s="51">
        <v>0</v>
      </c>
      <c r="J176" s="51">
        <v>0</v>
      </c>
    </row>
    <row r="177" spans="1:10">
      <c r="A177" s="85" t="str">
        <f>IF(Referral!B177="Yes", Referral!A177, IF(Referral!B177="No", "Screening Needed", ""))</f>
        <v/>
      </c>
      <c r="B177" s="49"/>
      <c r="C177" s="50"/>
      <c r="D177" s="45"/>
      <c r="E177" s="45"/>
      <c r="F177" s="51"/>
      <c r="G177" s="51"/>
      <c r="H177" s="51">
        <v>0</v>
      </c>
      <c r="I177" s="51">
        <v>0</v>
      </c>
      <c r="J177" s="51">
        <v>0</v>
      </c>
    </row>
    <row r="178" spans="1:10">
      <c r="A178" s="85" t="str">
        <f>IF(Referral!B178="Yes", Referral!A178, IF(Referral!B178="No", "Screening Needed", ""))</f>
        <v/>
      </c>
      <c r="B178" s="49"/>
      <c r="C178" s="50"/>
      <c r="D178" s="45"/>
      <c r="E178" s="45"/>
      <c r="F178" s="51"/>
      <c r="G178" s="51"/>
      <c r="H178" s="51">
        <v>0</v>
      </c>
      <c r="I178" s="51">
        <v>0</v>
      </c>
      <c r="J178" s="51">
        <v>0</v>
      </c>
    </row>
    <row r="179" spans="1:10">
      <c r="A179" s="85" t="str">
        <f>IF(Referral!B179="Yes", Referral!A179, IF(Referral!B179="No", "Screening Needed", ""))</f>
        <v/>
      </c>
      <c r="B179" s="49"/>
      <c r="C179" s="50"/>
      <c r="D179" s="45"/>
      <c r="E179" s="45"/>
      <c r="F179" s="51"/>
      <c r="G179" s="51"/>
      <c r="H179" s="51">
        <v>0</v>
      </c>
      <c r="I179" s="51">
        <v>0</v>
      </c>
      <c r="J179" s="51">
        <v>0</v>
      </c>
    </row>
    <row r="180" spans="1:10">
      <c r="A180" s="85" t="str">
        <f>IF(Referral!B180="Yes", Referral!A180, IF(Referral!B180="No", "Screening Needed", ""))</f>
        <v/>
      </c>
      <c r="B180" s="49"/>
      <c r="C180" s="50"/>
      <c r="D180" s="45"/>
      <c r="E180" s="45"/>
      <c r="F180" s="51"/>
      <c r="G180" s="51"/>
      <c r="H180" s="51">
        <v>0</v>
      </c>
      <c r="I180" s="51">
        <v>0</v>
      </c>
      <c r="J180" s="51">
        <v>0</v>
      </c>
    </row>
    <row r="181" spans="1:10">
      <c r="A181" s="85" t="str">
        <f>IF(Referral!B181="Yes", Referral!A181, IF(Referral!B181="No", "Screening Needed", ""))</f>
        <v/>
      </c>
      <c r="B181" s="49"/>
      <c r="C181" s="50"/>
      <c r="D181" s="45"/>
      <c r="E181" s="45"/>
      <c r="F181" s="51"/>
      <c r="G181" s="51"/>
      <c r="H181" s="51">
        <v>0</v>
      </c>
      <c r="I181" s="51">
        <v>0</v>
      </c>
      <c r="J181" s="51">
        <v>0</v>
      </c>
    </row>
    <row r="182" spans="1:10">
      <c r="A182" s="85" t="str">
        <f>IF(Referral!B182="Yes", Referral!A182, IF(Referral!B182="No", "Screening Needed", ""))</f>
        <v/>
      </c>
      <c r="B182" s="49"/>
      <c r="C182" s="50"/>
      <c r="D182" s="45"/>
      <c r="E182" s="45"/>
      <c r="F182" s="51"/>
      <c r="G182" s="51"/>
      <c r="H182" s="51">
        <v>0</v>
      </c>
      <c r="I182" s="51">
        <v>0</v>
      </c>
      <c r="J182" s="51">
        <v>0</v>
      </c>
    </row>
    <row r="183" spans="1:10">
      <c r="A183" s="85" t="str">
        <f>IF(Referral!B183="Yes", Referral!A183, IF(Referral!B183="No", "Screening Needed", ""))</f>
        <v/>
      </c>
      <c r="B183" s="49"/>
      <c r="C183" s="50"/>
      <c r="D183" s="45"/>
      <c r="E183" s="45"/>
      <c r="F183" s="51"/>
      <c r="G183" s="51"/>
      <c r="H183" s="51">
        <v>0</v>
      </c>
      <c r="I183" s="51">
        <v>0</v>
      </c>
      <c r="J183" s="51">
        <v>0</v>
      </c>
    </row>
    <row r="184" spans="1:10">
      <c r="A184" s="85" t="str">
        <f>IF(Referral!B184="Yes", Referral!A184, IF(Referral!B184="No", "Screening Needed", ""))</f>
        <v/>
      </c>
      <c r="B184" s="49"/>
      <c r="C184" s="50"/>
      <c r="D184" s="45"/>
      <c r="E184" s="45"/>
      <c r="F184" s="51"/>
      <c r="G184" s="51"/>
      <c r="H184" s="51">
        <v>0</v>
      </c>
      <c r="I184" s="51">
        <v>0</v>
      </c>
      <c r="J184" s="51">
        <v>0</v>
      </c>
    </row>
    <row r="185" spans="1:10">
      <c r="A185" s="85" t="str">
        <f>IF(Referral!B185="Yes", Referral!A185, IF(Referral!B185="No", "Screening Needed", ""))</f>
        <v/>
      </c>
      <c r="B185" s="49"/>
      <c r="C185" s="50"/>
      <c r="D185" s="45"/>
      <c r="E185" s="45"/>
      <c r="F185" s="51"/>
      <c r="G185" s="51"/>
      <c r="H185" s="51">
        <v>0</v>
      </c>
      <c r="I185" s="51">
        <v>0</v>
      </c>
      <c r="J185" s="51">
        <v>0</v>
      </c>
    </row>
    <row r="186" spans="1:10">
      <c r="A186" s="85" t="str">
        <f>IF(Referral!B186="Yes", Referral!A186, IF(Referral!B186="No", "Screening Needed", ""))</f>
        <v/>
      </c>
      <c r="B186" s="49"/>
      <c r="C186" s="50"/>
      <c r="D186" s="45"/>
      <c r="E186" s="45"/>
      <c r="F186" s="51"/>
      <c r="G186" s="51"/>
      <c r="H186" s="51">
        <v>0</v>
      </c>
      <c r="I186" s="51">
        <v>0</v>
      </c>
      <c r="J186" s="51">
        <v>0</v>
      </c>
    </row>
    <row r="187" spans="1:10">
      <c r="A187" s="85" t="str">
        <f>IF(Referral!B187="Yes", Referral!A187, IF(Referral!B187="No", "Screening Needed", ""))</f>
        <v/>
      </c>
      <c r="B187" s="49"/>
      <c r="C187" s="50"/>
      <c r="D187" s="45"/>
      <c r="E187" s="45"/>
      <c r="F187" s="51"/>
      <c r="G187" s="51"/>
      <c r="H187" s="51">
        <v>0</v>
      </c>
      <c r="I187" s="51">
        <v>0</v>
      </c>
      <c r="J187" s="51">
        <v>0</v>
      </c>
    </row>
    <row r="188" spans="1:10">
      <c r="A188" s="85" t="str">
        <f>IF(Referral!B188="Yes", Referral!A188, IF(Referral!B188="No", "Screening Needed", ""))</f>
        <v/>
      </c>
      <c r="B188" s="49"/>
      <c r="C188" s="50"/>
      <c r="D188" s="45"/>
      <c r="E188" s="45"/>
      <c r="F188" s="51"/>
      <c r="G188" s="51"/>
      <c r="H188" s="51">
        <v>0</v>
      </c>
      <c r="I188" s="51">
        <v>0</v>
      </c>
      <c r="J188" s="51">
        <v>0</v>
      </c>
    </row>
    <row r="189" spans="1:10">
      <c r="A189" s="85" t="str">
        <f>IF(Referral!B189="Yes", Referral!A189, IF(Referral!B189="No", "Screening Needed", ""))</f>
        <v/>
      </c>
      <c r="B189" s="49"/>
      <c r="C189" s="50"/>
      <c r="D189" s="45"/>
      <c r="E189" s="45"/>
      <c r="F189" s="51"/>
      <c r="G189" s="51"/>
      <c r="H189" s="51">
        <v>0</v>
      </c>
      <c r="I189" s="51">
        <v>0</v>
      </c>
      <c r="J189" s="51">
        <v>0</v>
      </c>
    </row>
    <row r="190" spans="1:10">
      <c r="A190" s="85" t="str">
        <f>IF(Referral!B190="Yes", Referral!A190, IF(Referral!B190="No", "Screening Needed", ""))</f>
        <v/>
      </c>
      <c r="B190" s="49"/>
      <c r="C190" s="50"/>
      <c r="D190" s="45"/>
      <c r="E190" s="45"/>
      <c r="F190" s="51"/>
      <c r="G190" s="51"/>
      <c r="H190" s="51">
        <v>0</v>
      </c>
      <c r="I190" s="51">
        <v>0</v>
      </c>
      <c r="J190" s="51">
        <v>0</v>
      </c>
    </row>
    <row r="191" spans="1:10">
      <c r="A191" s="85" t="str">
        <f>IF(Referral!B191="Yes", Referral!A191, IF(Referral!B191="No", "Screening Needed", ""))</f>
        <v/>
      </c>
      <c r="B191" s="49"/>
      <c r="C191" s="50"/>
      <c r="D191" s="45"/>
      <c r="E191" s="45"/>
      <c r="F191" s="51"/>
      <c r="G191" s="51"/>
      <c r="H191" s="51">
        <v>0</v>
      </c>
      <c r="I191" s="51">
        <v>0</v>
      </c>
      <c r="J191" s="51">
        <v>0</v>
      </c>
    </row>
    <row r="192" spans="1:10">
      <c r="A192" s="85" t="str">
        <f>IF(Referral!B192="Yes", Referral!A192, IF(Referral!B192="No", "Screening Needed", ""))</f>
        <v/>
      </c>
      <c r="B192" s="49"/>
      <c r="C192" s="50"/>
      <c r="D192" s="45"/>
      <c r="E192" s="45"/>
      <c r="F192" s="51"/>
      <c r="G192" s="51"/>
      <c r="H192" s="51">
        <v>0</v>
      </c>
      <c r="I192" s="51">
        <v>0</v>
      </c>
      <c r="J192" s="51">
        <v>0</v>
      </c>
    </row>
    <row r="193" spans="1:10">
      <c r="A193" s="85" t="str">
        <f>IF(Referral!B193="Yes", Referral!A193, IF(Referral!B193="No", "Screening Needed", ""))</f>
        <v/>
      </c>
      <c r="B193" s="49"/>
      <c r="C193" s="50"/>
      <c r="D193" s="45"/>
      <c r="E193" s="45"/>
      <c r="F193" s="51"/>
      <c r="G193" s="51"/>
      <c r="H193" s="51">
        <v>0</v>
      </c>
      <c r="I193" s="51">
        <v>0</v>
      </c>
      <c r="J193" s="51">
        <v>0</v>
      </c>
    </row>
    <row r="194" spans="1:10">
      <c r="A194" s="85" t="str">
        <f>IF(Referral!B194="Yes", Referral!A194, IF(Referral!B194="No", "Screening Needed", ""))</f>
        <v/>
      </c>
      <c r="B194" s="49"/>
      <c r="C194" s="50"/>
      <c r="D194" s="45"/>
      <c r="E194" s="45"/>
      <c r="F194" s="51"/>
      <c r="G194" s="51"/>
      <c r="H194" s="51">
        <v>0</v>
      </c>
      <c r="I194" s="51">
        <v>0</v>
      </c>
      <c r="J194" s="51">
        <v>0</v>
      </c>
    </row>
    <row r="195" spans="1:10">
      <c r="A195" s="85" t="str">
        <f>IF(Referral!B195="Yes", Referral!A195, IF(Referral!B195="No", "Screening Needed", ""))</f>
        <v/>
      </c>
      <c r="B195" s="49"/>
      <c r="C195" s="50"/>
      <c r="D195" s="45"/>
      <c r="E195" s="45"/>
      <c r="F195" s="51"/>
      <c r="G195" s="51"/>
      <c r="H195" s="51">
        <v>0</v>
      </c>
      <c r="I195" s="51">
        <v>0</v>
      </c>
      <c r="J195" s="51">
        <v>0</v>
      </c>
    </row>
    <row r="196" spans="1:10">
      <c r="A196" s="85" t="str">
        <f>IF(Referral!B196="Yes", Referral!A196, IF(Referral!B196="No", "Screening Needed", ""))</f>
        <v/>
      </c>
      <c r="B196" s="49"/>
      <c r="C196" s="50"/>
      <c r="D196" s="45"/>
      <c r="E196" s="45"/>
      <c r="F196" s="51"/>
      <c r="G196" s="51"/>
      <c r="H196" s="51">
        <v>0</v>
      </c>
      <c r="I196" s="51">
        <v>0</v>
      </c>
      <c r="J196" s="51">
        <v>0</v>
      </c>
    </row>
    <row r="197" spans="1:10">
      <c r="A197" s="85" t="str">
        <f>IF(Referral!B197="Yes", Referral!A197, IF(Referral!B197="No", "Screening Needed", ""))</f>
        <v/>
      </c>
      <c r="B197" s="49"/>
      <c r="C197" s="50"/>
      <c r="D197" s="45"/>
      <c r="E197" s="45"/>
      <c r="F197" s="51"/>
      <c r="G197" s="51"/>
      <c r="H197" s="51">
        <v>0</v>
      </c>
      <c r="I197" s="51">
        <v>0</v>
      </c>
      <c r="J197" s="51">
        <v>0</v>
      </c>
    </row>
    <row r="198" spans="1:10">
      <c r="A198" s="85" t="str">
        <f>IF(Referral!B198="Yes", Referral!A198, IF(Referral!B198="No", "Screening Needed", ""))</f>
        <v/>
      </c>
      <c r="B198" s="49"/>
      <c r="C198" s="50"/>
      <c r="D198" s="45"/>
      <c r="E198" s="45"/>
      <c r="F198" s="51"/>
      <c r="G198" s="51"/>
      <c r="H198" s="51">
        <v>0</v>
      </c>
      <c r="I198" s="51">
        <v>0</v>
      </c>
      <c r="J198" s="51">
        <v>0</v>
      </c>
    </row>
    <row r="199" spans="1:10">
      <c r="A199" s="85" t="str">
        <f>IF(Referral!B199="Yes", Referral!A199, IF(Referral!B199="No", "Screening Needed", ""))</f>
        <v/>
      </c>
      <c r="B199" s="49"/>
      <c r="C199" s="50"/>
      <c r="D199" s="45"/>
      <c r="E199" s="45"/>
      <c r="F199" s="51"/>
      <c r="G199" s="51"/>
      <c r="H199" s="51">
        <v>0</v>
      </c>
      <c r="I199" s="51">
        <v>0</v>
      </c>
      <c r="J199" s="51">
        <v>0</v>
      </c>
    </row>
    <row r="200" spans="1:10">
      <c r="A200" s="85" t="str">
        <f>IF(Referral!B200="Yes", Referral!A200, IF(Referral!B200="No", "Screening Needed", ""))</f>
        <v/>
      </c>
      <c r="B200" s="49"/>
      <c r="C200" s="50"/>
      <c r="D200" s="45"/>
      <c r="E200" s="45"/>
      <c r="F200" s="51"/>
      <c r="G200" s="51"/>
      <c r="H200" s="51">
        <v>0</v>
      </c>
      <c r="I200" s="51">
        <v>0</v>
      </c>
      <c r="J200" s="51">
        <v>0</v>
      </c>
    </row>
    <row r="201" spans="1:10">
      <c r="A201" s="85" t="str">
        <f>IF(Referral!B201="Yes", Referral!A201, IF(Referral!B201="No", "Screening Needed", ""))</f>
        <v/>
      </c>
      <c r="B201" s="49"/>
      <c r="C201" s="50"/>
      <c r="D201" s="45"/>
      <c r="E201" s="45"/>
      <c r="F201" s="51"/>
      <c r="G201" s="51"/>
      <c r="H201" s="51">
        <v>0</v>
      </c>
      <c r="I201" s="51">
        <v>0</v>
      </c>
      <c r="J201" s="51">
        <v>0</v>
      </c>
    </row>
    <row r="202" spans="1:10">
      <c r="A202" s="85" t="str">
        <f>IF(Referral!B202="Yes", Referral!A202, IF(Referral!B202="No", "Screening Needed", ""))</f>
        <v/>
      </c>
      <c r="B202" s="49"/>
      <c r="C202" s="50"/>
      <c r="D202" s="45"/>
      <c r="E202" s="45"/>
      <c r="F202" s="51"/>
      <c r="G202" s="51"/>
      <c r="H202" s="51">
        <v>0</v>
      </c>
      <c r="I202" s="51">
        <v>0</v>
      </c>
      <c r="J202" s="51">
        <v>0</v>
      </c>
    </row>
    <row r="203" spans="1:10">
      <c r="A203" s="85" t="str">
        <f>IF(Referral!B203="Yes", Referral!A203, IF(Referral!B203="No", "Screening Needed", ""))</f>
        <v/>
      </c>
      <c r="B203" s="49"/>
      <c r="C203" s="50"/>
      <c r="D203" s="45"/>
      <c r="E203" s="45"/>
      <c r="F203" s="51"/>
      <c r="G203" s="51"/>
      <c r="H203" s="51">
        <v>0</v>
      </c>
      <c r="I203" s="51">
        <v>0</v>
      </c>
      <c r="J203" s="51">
        <v>0</v>
      </c>
    </row>
    <row r="204" spans="1:10">
      <c r="A204" s="85" t="str">
        <f>IF(Referral!B204="Yes", Referral!A204, IF(Referral!B204="No", "Screening Needed", ""))</f>
        <v/>
      </c>
      <c r="B204" s="49"/>
      <c r="C204" s="50"/>
      <c r="D204" s="45"/>
      <c r="E204" s="45"/>
      <c r="F204" s="51"/>
      <c r="G204" s="51"/>
      <c r="H204" s="51">
        <v>0</v>
      </c>
      <c r="I204" s="51">
        <v>0</v>
      </c>
      <c r="J204" s="51">
        <v>0</v>
      </c>
    </row>
    <row r="205" spans="1:10">
      <c r="A205" s="85" t="str">
        <f>IF(Referral!B205="Yes", Referral!A205, IF(Referral!B205="No", "Screening Needed", ""))</f>
        <v/>
      </c>
      <c r="B205" s="49"/>
      <c r="C205" s="50"/>
      <c r="D205" s="45"/>
      <c r="E205" s="45"/>
      <c r="F205" s="51"/>
      <c r="G205" s="51"/>
      <c r="H205" s="51">
        <v>0</v>
      </c>
      <c r="I205" s="51">
        <v>0</v>
      </c>
      <c r="J205" s="51">
        <v>0</v>
      </c>
    </row>
    <row r="206" spans="1:10">
      <c r="A206" s="85" t="str">
        <f>IF(Referral!B206="Yes", Referral!A206, IF(Referral!B206="No", "Screening Needed", ""))</f>
        <v/>
      </c>
      <c r="B206" s="49"/>
      <c r="C206" s="50"/>
      <c r="D206" s="45"/>
      <c r="E206" s="45"/>
      <c r="F206" s="51"/>
      <c r="G206" s="51"/>
      <c r="H206" s="51">
        <v>0</v>
      </c>
      <c r="I206" s="51">
        <v>0</v>
      </c>
      <c r="J206" s="51">
        <v>0</v>
      </c>
    </row>
    <row r="207" spans="1:10">
      <c r="A207" s="85" t="str">
        <f>IF(Referral!B207="Yes", Referral!A207, IF(Referral!B207="No", "Screening Needed", ""))</f>
        <v/>
      </c>
      <c r="B207" s="49"/>
      <c r="C207" s="50"/>
      <c r="D207" s="45"/>
      <c r="E207" s="45"/>
      <c r="F207" s="51"/>
      <c r="G207" s="51"/>
      <c r="H207" s="51">
        <v>0</v>
      </c>
      <c r="I207" s="51">
        <v>0</v>
      </c>
      <c r="J207" s="51">
        <v>0</v>
      </c>
    </row>
    <row r="208" spans="1:10">
      <c r="A208" s="85" t="str">
        <f>IF(Referral!B208="Yes", Referral!A208, IF(Referral!B208="No", "Screening Needed", ""))</f>
        <v/>
      </c>
      <c r="B208" s="49"/>
      <c r="C208" s="50"/>
      <c r="D208" s="45"/>
      <c r="E208" s="45"/>
      <c r="F208" s="51"/>
      <c r="G208" s="51"/>
      <c r="H208" s="51">
        <v>0</v>
      </c>
      <c r="I208" s="51">
        <v>0</v>
      </c>
      <c r="J208" s="51">
        <v>0</v>
      </c>
    </row>
    <row r="209" spans="1:10">
      <c r="A209" s="85" t="str">
        <f>IF(Referral!B209="Yes", Referral!A209, IF(Referral!B209="No", "Screening Needed", ""))</f>
        <v/>
      </c>
      <c r="B209" s="49"/>
      <c r="C209" s="50"/>
      <c r="D209" s="45"/>
      <c r="E209" s="45"/>
      <c r="F209" s="51"/>
      <c r="G209" s="51"/>
      <c r="H209" s="51">
        <v>0</v>
      </c>
      <c r="I209" s="51">
        <v>0</v>
      </c>
      <c r="J209" s="51">
        <v>0</v>
      </c>
    </row>
    <row r="210" spans="1:10">
      <c r="A210" s="85" t="str">
        <f>IF(Referral!B210="Yes", Referral!A210, IF(Referral!B210="No", "Screening Needed", ""))</f>
        <v/>
      </c>
      <c r="B210" s="49"/>
      <c r="C210" s="50"/>
      <c r="D210" s="45"/>
      <c r="E210" s="45"/>
      <c r="F210" s="51"/>
      <c r="G210" s="51"/>
      <c r="H210" s="51">
        <v>0</v>
      </c>
      <c r="I210" s="51">
        <v>0</v>
      </c>
      <c r="J210" s="51">
        <v>0</v>
      </c>
    </row>
    <row r="211" spans="1:10">
      <c r="A211" s="85" t="str">
        <f>IF(Referral!B211="Yes", Referral!A211, IF(Referral!B211="No", "Screening Needed", ""))</f>
        <v/>
      </c>
      <c r="B211" s="49"/>
      <c r="C211" s="50"/>
      <c r="D211" s="45"/>
      <c r="E211" s="45"/>
      <c r="F211" s="51"/>
      <c r="G211" s="51"/>
      <c r="H211" s="51">
        <v>0</v>
      </c>
      <c r="I211" s="51">
        <v>0</v>
      </c>
      <c r="J211" s="51">
        <v>0</v>
      </c>
    </row>
    <row r="212" spans="1:10">
      <c r="A212" s="85" t="str">
        <f>IF(Referral!B212="Yes", Referral!A212, IF(Referral!B212="No", "Screening Needed", ""))</f>
        <v/>
      </c>
      <c r="B212" s="49"/>
      <c r="C212" s="50"/>
      <c r="D212" s="45"/>
      <c r="E212" s="45"/>
      <c r="F212" s="51"/>
      <c r="G212" s="51"/>
      <c r="H212" s="51">
        <v>0</v>
      </c>
      <c r="I212" s="51">
        <v>0</v>
      </c>
      <c r="J212" s="51">
        <v>0</v>
      </c>
    </row>
    <row r="213" spans="1:10">
      <c r="A213" s="85" t="str">
        <f>IF(Referral!B213="Yes", Referral!A213, IF(Referral!B213="No", "Screening Needed", ""))</f>
        <v/>
      </c>
      <c r="B213" s="49"/>
      <c r="C213" s="50"/>
      <c r="D213" s="45"/>
      <c r="E213" s="45"/>
      <c r="F213" s="51"/>
      <c r="G213" s="51"/>
      <c r="H213" s="51">
        <v>0</v>
      </c>
      <c r="I213" s="51">
        <v>0</v>
      </c>
      <c r="J213" s="51">
        <v>0</v>
      </c>
    </row>
    <row r="214" spans="1:10">
      <c r="A214" s="85" t="str">
        <f>IF(Referral!B214="Yes", Referral!A214, IF(Referral!B214="No", "Screening Needed", ""))</f>
        <v/>
      </c>
      <c r="B214" s="49"/>
      <c r="C214" s="50"/>
      <c r="D214" s="45"/>
      <c r="E214" s="45"/>
      <c r="F214" s="51"/>
      <c r="G214" s="51"/>
      <c r="H214" s="51">
        <v>0</v>
      </c>
      <c r="I214" s="51">
        <v>0</v>
      </c>
      <c r="J214" s="51">
        <v>0</v>
      </c>
    </row>
    <row r="215" spans="1:10">
      <c r="A215" s="85" t="str">
        <f>IF(Referral!B215="Yes", Referral!A215, IF(Referral!B215="No", "Screening Needed", ""))</f>
        <v/>
      </c>
      <c r="B215" s="49"/>
      <c r="C215" s="50"/>
      <c r="D215" s="45"/>
      <c r="E215" s="45"/>
      <c r="F215" s="51"/>
      <c r="G215" s="51"/>
      <c r="H215" s="51">
        <v>0</v>
      </c>
      <c r="I215" s="51">
        <v>0</v>
      </c>
      <c r="J215" s="51">
        <v>0</v>
      </c>
    </row>
    <row r="216" spans="1:10">
      <c r="A216" s="85" t="str">
        <f>IF(Referral!B216="Yes", Referral!A216, IF(Referral!B216="No", "Screening Needed", ""))</f>
        <v/>
      </c>
      <c r="B216" s="49"/>
      <c r="C216" s="50"/>
      <c r="D216" s="45"/>
      <c r="E216" s="45"/>
      <c r="F216" s="51"/>
      <c r="G216" s="51"/>
      <c r="H216" s="51">
        <v>0</v>
      </c>
      <c r="I216" s="51">
        <v>0</v>
      </c>
      <c r="J216" s="51">
        <v>0</v>
      </c>
    </row>
    <row r="217" spans="1:10">
      <c r="A217" s="85" t="str">
        <f>IF(Referral!B217="Yes", Referral!A217, IF(Referral!B217="No", "Screening Needed", ""))</f>
        <v/>
      </c>
      <c r="B217" s="49"/>
      <c r="C217" s="50"/>
      <c r="D217" s="45"/>
      <c r="E217" s="45"/>
      <c r="F217" s="51"/>
      <c r="G217" s="51"/>
      <c r="H217" s="51">
        <v>0</v>
      </c>
      <c r="I217" s="51">
        <v>0</v>
      </c>
      <c r="J217" s="51">
        <v>0</v>
      </c>
    </row>
    <row r="218" spans="1:10">
      <c r="A218" s="85" t="str">
        <f>IF(Referral!B218="Yes", Referral!A218, IF(Referral!B218="No", "Screening Needed", ""))</f>
        <v/>
      </c>
      <c r="B218" s="49"/>
      <c r="C218" s="50"/>
      <c r="D218" s="45"/>
      <c r="E218" s="45"/>
      <c r="F218" s="51"/>
      <c r="G218" s="51"/>
      <c r="H218" s="51">
        <v>0</v>
      </c>
      <c r="I218" s="51">
        <v>0</v>
      </c>
      <c r="J218" s="51">
        <v>0</v>
      </c>
    </row>
    <row r="219" spans="1:10">
      <c r="A219" s="85" t="str">
        <f>IF(Referral!B219="Yes", Referral!A219, IF(Referral!B219="No", "Screening Needed", ""))</f>
        <v/>
      </c>
      <c r="B219" s="49"/>
      <c r="C219" s="50"/>
      <c r="D219" s="45"/>
      <c r="E219" s="45"/>
      <c r="F219" s="51"/>
      <c r="G219" s="51"/>
      <c r="H219" s="51">
        <v>0</v>
      </c>
      <c r="I219" s="51">
        <v>0</v>
      </c>
      <c r="J219" s="51">
        <v>0</v>
      </c>
    </row>
    <row r="220" spans="1:10">
      <c r="A220" s="85" t="str">
        <f>IF(Referral!B220="Yes", Referral!A220, IF(Referral!B220="No", "Screening Needed", ""))</f>
        <v/>
      </c>
      <c r="B220" s="49"/>
      <c r="C220" s="50"/>
      <c r="D220" s="45"/>
      <c r="E220" s="45"/>
      <c r="F220" s="51"/>
      <c r="G220" s="51"/>
      <c r="H220" s="51">
        <v>0</v>
      </c>
      <c r="I220" s="51">
        <v>0</v>
      </c>
      <c r="J220" s="51">
        <v>0</v>
      </c>
    </row>
    <row r="221" spans="1:10">
      <c r="A221" s="85" t="str">
        <f>IF(Referral!B221="Yes", Referral!A221, IF(Referral!B221="No", "Screening Needed", ""))</f>
        <v/>
      </c>
      <c r="B221" s="49"/>
      <c r="C221" s="50"/>
      <c r="D221" s="45"/>
      <c r="E221" s="45"/>
      <c r="F221" s="51"/>
      <c r="G221" s="51"/>
      <c r="H221" s="51">
        <v>0</v>
      </c>
      <c r="I221" s="51">
        <v>0</v>
      </c>
      <c r="J221" s="51">
        <v>0</v>
      </c>
    </row>
    <row r="222" spans="1:10">
      <c r="A222" s="85" t="str">
        <f>IF(Referral!B222="Yes", Referral!A222, IF(Referral!B222="No", "Screening Needed", ""))</f>
        <v/>
      </c>
      <c r="B222" s="49"/>
      <c r="C222" s="50"/>
      <c r="D222" s="45"/>
      <c r="E222" s="45"/>
      <c r="F222" s="51"/>
      <c r="G222" s="51"/>
      <c r="H222" s="51">
        <v>0</v>
      </c>
      <c r="I222" s="51">
        <v>0</v>
      </c>
      <c r="J222" s="51">
        <v>0</v>
      </c>
    </row>
    <row r="223" spans="1:10">
      <c r="A223" s="85" t="str">
        <f>IF(Referral!B223="Yes", Referral!A223, IF(Referral!B223="No", "Screening Needed", ""))</f>
        <v/>
      </c>
      <c r="B223" s="49"/>
      <c r="C223" s="50"/>
      <c r="D223" s="45"/>
      <c r="E223" s="45"/>
      <c r="F223" s="51"/>
      <c r="G223" s="51"/>
      <c r="H223" s="51">
        <v>0</v>
      </c>
      <c r="I223" s="51">
        <v>0</v>
      </c>
      <c r="J223" s="51">
        <v>0</v>
      </c>
    </row>
    <row r="224" spans="1:10">
      <c r="A224" s="85" t="str">
        <f>IF(Referral!B224="Yes", Referral!A224, IF(Referral!B224="No", "Screening Needed", ""))</f>
        <v/>
      </c>
      <c r="B224" s="49"/>
      <c r="C224" s="50"/>
      <c r="D224" s="45"/>
      <c r="E224" s="45"/>
      <c r="F224" s="51"/>
      <c r="G224" s="51"/>
      <c r="H224" s="51">
        <v>0</v>
      </c>
      <c r="I224" s="51">
        <v>0</v>
      </c>
      <c r="J224" s="51">
        <v>0</v>
      </c>
    </row>
    <row r="225" spans="1:10">
      <c r="A225" s="85" t="str">
        <f>IF(Referral!B225="Yes", Referral!A225, IF(Referral!B225="No", "Screening Needed", ""))</f>
        <v/>
      </c>
      <c r="B225" s="49"/>
      <c r="C225" s="50"/>
      <c r="D225" s="45"/>
      <c r="E225" s="45"/>
      <c r="F225" s="51"/>
      <c r="G225" s="51"/>
      <c r="H225" s="51">
        <v>0</v>
      </c>
      <c r="I225" s="51">
        <v>0</v>
      </c>
      <c r="J225" s="51">
        <v>0</v>
      </c>
    </row>
    <row r="226" spans="1:10">
      <c r="A226" s="85" t="str">
        <f>IF(Referral!B226="Yes", Referral!A226, IF(Referral!B226="No", "Screening Needed", ""))</f>
        <v/>
      </c>
      <c r="B226" s="49"/>
      <c r="C226" s="50"/>
      <c r="D226" s="45"/>
      <c r="E226" s="45"/>
      <c r="F226" s="51"/>
      <c r="G226" s="51"/>
      <c r="H226" s="51">
        <v>0</v>
      </c>
      <c r="I226" s="51">
        <v>0</v>
      </c>
      <c r="J226" s="51">
        <v>0</v>
      </c>
    </row>
    <row r="227" spans="1:10">
      <c r="A227" s="85" t="str">
        <f>IF(Referral!B227="Yes", Referral!A227, IF(Referral!B227="No", "Screening Needed", ""))</f>
        <v/>
      </c>
      <c r="B227" s="49"/>
      <c r="C227" s="50"/>
      <c r="D227" s="45"/>
      <c r="E227" s="45"/>
      <c r="F227" s="51"/>
      <c r="G227" s="51"/>
      <c r="H227" s="51">
        <v>0</v>
      </c>
      <c r="I227" s="51">
        <v>0</v>
      </c>
      <c r="J227" s="51">
        <v>0</v>
      </c>
    </row>
    <row r="228" spans="1:10">
      <c r="A228" s="85" t="str">
        <f>IF(Referral!B228="Yes", Referral!A228, IF(Referral!B228="No", "Screening Needed", ""))</f>
        <v/>
      </c>
      <c r="B228" s="49"/>
      <c r="C228" s="50"/>
      <c r="D228" s="45"/>
      <c r="E228" s="45"/>
      <c r="F228" s="51"/>
      <c r="G228" s="51"/>
      <c r="H228" s="51">
        <v>0</v>
      </c>
      <c r="I228" s="51">
        <v>0</v>
      </c>
      <c r="J228" s="51">
        <v>0</v>
      </c>
    </row>
    <row r="229" spans="1:10">
      <c r="A229" s="85" t="str">
        <f>IF(Referral!B229="Yes", Referral!A229, IF(Referral!B229="No", "Screening Needed", ""))</f>
        <v/>
      </c>
      <c r="B229" s="49"/>
      <c r="C229" s="50"/>
      <c r="D229" s="45"/>
      <c r="E229" s="45"/>
      <c r="F229" s="51"/>
      <c r="G229" s="51"/>
      <c r="H229" s="51">
        <v>0</v>
      </c>
      <c r="I229" s="51">
        <v>0</v>
      </c>
      <c r="J229" s="51">
        <v>0</v>
      </c>
    </row>
    <row r="230" spans="1:10">
      <c r="A230" s="85" t="str">
        <f>IF(Referral!B230="Yes", Referral!A230, IF(Referral!B230="No", "Screening Needed", ""))</f>
        <v/>
      </c>
      <c r="B230" s="49"/>
      <c r="C230" s="50"/>
      <c r="D230" s="45"/>
      <c r="E230" s="45"/>
      <c r="F230" s="51"/>
      <c r="G230" s="51"/>
      <c r="H230" s="51">
        <v>0</v>
      </c>
      <c r="I230" s="51">
        <v>0</v>
      </c>
      <c r="J230" s="51">
        <v>0</v>
      </c>
    </row>
    <row r="231" spans="1:10">
      <c r="A231" s="85" t="str">
        <f>IF(Referral!B231="Yes", Referral!A231, IF(Referral!B231="No", "Screening Needed", ""))</f>
        <v/>
      </c>
      <c r="B231" s="49"/>
      <c r="C231" s="50"/>
      <c r="D231" s="45"/>
      <c r="E231" s="45"/>
      <c r="F231" s="51"/>
      <c r="G231" s="51"/>
      <c r="H231" s="51">
        <v>0</v>
      </c>
      <c r="I231" s="51">
        <v>0</v>
      </c>
      <c r="J231" s="51">
        <v>0</v>
      </c>
    </row>
    <row r="232" spans="1:10">
      <c r="A232" s="85" t="str">
        <f>IF(Referral!B232="Yes", Referral!A232, IF(Referral!B232="No", "Screening Needed", ""))</f>
        <v/>
      </c>
      <c r="B232" s="49"/>
      <c r="C232" s="50"/>
      <c r="D232" s="45"/>
      <c r="E232" s="45"/>
      <c r="F232" s="51"/>
      <c r="G232" s="51"/>
      <c r="H232" s="51">
        <v>0</v>
      </c>
      <c r="I232" s="51">
        <v>0</v>
      </c>
      <c r="J232" s="51">
        <v>0</v>
      </c>
    </row>
    <row r="233" spans="1:10">
      <c r="A233" s="85" t="str">
        <f>IF(Referral!B233="Yes", Referral!A233, IF(Referral!B233="No", "Screening Needed", ""))</f>
        <v/>
      </c>
      <c r="B233" s="49"/>
      <c r="C233" s="50"/>
      <c r="D233" s="45"/>
      <c r="E233" s="45"/>
      <c r="F233" s="51"/>
      <c r="G233" s="51"/>
      <c r="H233" s="51">
        <v>0</v>
      </c>
      <c r="I233" s="51">
        <v>0</v>
      </c>
      <c r="J233" s="51">
        <v>0</v>
      </c>
    </row>
    <row r="234" spans="1:10">
      <c r="A234" s="85" t="str">
        <f>IF(Referral!B234="Yes", Referral!A234, IF(Referral!B234="No", "Screening Needed", ""))</f>
        <v/>
      </c>
      <c r="B234" s="49"/>
      <c r="C234" s="50"/>
      <c r="D234" s="45"/>
      <c r="E234" s="45"/>
      <c r="F234" s="51"/>
      <c r="G234" s="51"/>
      <c r="H234" s="51">
        <v>0</v>
      </c>
      <c r="I234" s="51">
        <v>0</v>
      </c>
      <c r="J234" s="51">
        <v>0</v>
      </c>
    </row>
    <row r="235" spans="1:10">
      <c r="A235" s="85" t="str">
        <f>IF(Referral!B235="Yes", Referral!A235, IF(Referral!B235="No", "Screening Needed", ""))</f>
        <v/>
      </c>
      <c r="B235" s="49"/>
      <c r="C235" s="50"/>
      <c r="D235" s="45"/>
      <c r="E235" s="45"/>
      <c r="F235" s="51"/>
      <c r="G235" s="51"/>
      <c r="H235" s="51">
        <v>0</v>
      </c>
      <c r="I235" s="51">
        <v>0</v>
      </c>
      <c r="J235" s="51">
        <v>0</v>
      </c>
    </row>
    <row r="236" spans="1:10">
      <c r="A236" s="85" t="str">
        <f>IF(Referral!B236="Yes", Referral!A236, IF(Referral!B236="No", "Screening Needed", ""))</f>
        <v/>
      </c>
      <c r="B236" s="49"/>
      <c r="C236" s="50"/>
      <c r="D236" s="45"/>
      <c r="E236" s="45"/>
      <c r="F236" s="51"/>
      <c r="G236" s="51"/>
      <c r="H236" s="51">
        <v>0</v>
      </c>
      <c r="I236" s="51">
        <v>0</v>
      </c>
      <c r="J236" s="51">
        <v>0</v>
      </c>
    </row>
    <row r="237" spans="1:10">
      <c r="A237" s="85" t="str">
        <f>IF(Referral!B237="Yes", Referral!A237, IF(Referral!B237="No", "Screening Needed", ""))</f>
        <v/>
      </c>
      <c r="B237" s="49"/>
      <c r="C237" s="50"/>
      <c r="D237" s="45"/>
      <c r="E237" s="45"/>
      <c r="F237" s="51"/>
      <c r="G237" s="51"/>
      <c r="H237" s="51">
        <v>0</v>
      </c>
      <c r="I237" s="51">
        <v>0</v>
      </c>
      <c r="J237" s="51">
        <v>0</v>
      </c>
    </row>
    <row r="238" spans="1:10">
      <c r="A238" s="85" t="str">
        <f>IF(Referral!B238="Yes", Referral!A238, IF(Referral!B238="No", "Screening Needed", ""))</f>
        <v/>
      </c>
      <c r="B238" s="49"/>
      <c r="C238" s="50"/>
      <c r="D238" s="45"/>
      <c r="E238" s="45"/>
      <c r="F238" s="51"/>
      <c r="G238" s="51"/>
      <c r="H238" s="51">
        <v>0</v>
      </c>
      <c r="I238" s="51">
        <v>0</v>
      </c>
      <c r="J238" s="51">
        <v>0</v>
      </c>
    </row>
    <row r="239" spans="1:10">
      <c r="A239" s="85" t="str">
        <f>IF(Referral!B239="Yes", Referral!A239, IF(Referral!B239="No", "Screening Needed", ""))</f>
        <v/>
      </c>
      <c r="B239" s="49"/>
      <c r="C239" s="50"/>
      <c r="D239" s="45"/>
      <c r="E239" s="45"/>
      <c r="F239" s="51"/>
      <c r="G239" s="51"/>
      <c r="H239" s="51">
        <v>0</v>
      </c>
      <c r="I239" s="51">
        <v>0</v>
      </c>
      <c r="J239" s="51">
        <v>0</v>
      </c>
    </row>
    <row r="240" spans="1:10">
      <c r="A240" s="85" t="str">
        <f>IF(Referral!B240="Yes", Referral!A240, IF(Referral!B240="No", "Screening Needed", ""))</f>
        <v/>
      </c>
      <c r="B240" s="49"/>
      <c r="C240" s="50"/>
      <c r="D240" s="45"/>
      <c r="E240" s="45"/>
      <c r="F240" s="51"/>
      <c r="G240" s="51"/>
      <c r="H240" s="51">
        <v>0</v>
      </c>
      <c r="I240" s="51">
        <v>0</v>
      </c>
      <c r="J240" s="51">
        <v>0</v>
      </c>
    </row>
    <row r="241" spans="1:10">
      <c r="A241" s="85" t="str">
        <f>IF(Referral!B241="Yes", Referral!A241, IF(Referral!B241="No", "Screening Needed", ""))</f>
        <v/>
      </c>
      <c r="B241" s="49"/>
      <c r="C241" s="50"/>
      <c r="D241" s="45"/>
      <c r="E241" s="45"/>
      <c r="F241" s="51"/>
      <c r="G241" s="51"/>
      <c r="H241" s="51">
        <v>0</v>
      </c>
      <c r="I241" s="51">
        <v>0</v>
      </c>
      <c r="J241" s="51">
        <v>0</v>
      </c>
    </row>
    <row r="242" spans="1:10">
      <c r="A242" s="85" t="str">
        <f>IF(Referral!B242="Yes", Referral!A242, IF(Referral!B242="No", "Screening Needed", ""))</f>
        <v/>
      </c>
      <c r="B242" s="49"/>
      <c r="C242" s="50"/>
      <c r="D242" s="45"/>
      <c r="E242" s="45"/>
      <c r="F242" s="51"/>
      <c r="G242" s="51"/>
      <c r="H242" s="51">
        <v>0</v>
      </c>
      <c r="I242" s="51">
        <v>0</v>
      </c>
      <c r="J242" s="51">
        <v>0</v>
      </c>
    </row>
    <row r="243" spans="1:10">
      <c r="A243" s="85" t="str">
        <f>IF(Referral!B243="Yes", Referral!A243, IF(Referral!B243="No", "Screening Needed", ""))</f>
        <v/>
      </c>
      <c r="B243" s="49"/>
      <c r="C243" s="50"/>
      <c r="D243" s="45"/>
      <c r="E243" s="45"/>
      <c r="F243" s="51"/>
      <c r="G243" s="51"/>
      <c r="H243" s="51">
        <v>0</v>
      </c>
      <c r="I243" s="51">
        <v>0</v>
      </c>
      <c r="J243" s="51">
        <v>0</v>
      </c>
    </row>
    <row r="244" spans="1:10">
      <c r="A244" s="85" t="str">
        <f>IF(Referral!B244="Yes", Referral!A244, IF(Referral!B244="No", "Screening Needed", ""))</f>
        <v/>
      </c>
      <c r="B244" s="49"/>
      <c r="C244" s="50"/>
      <c r="D244" s="45"/>
      <c r="E244" s="45"/>
      <c r="F244" s="51"/>
      <c r="G244" s="51"/>
      <c r="H244" s="51">
        <v>0</v>
      </c>
      <c r="I244" s="51">
        <v>0</v>
      </c>
      <c r="J244" s="51">
        <v>0</v>
      </c>
    </row>
    <row r="245" spans="1:10">
      <c r="A245" s="85" t="str">
        <f>IF(Referral!B245="Yes", Referral!A245, IF(Referral!B245="No", "Screening Needed", ""))</f>
        <v/>
      </c>
      <c r="B245" s="49"/>
      <c r="C245" s="50"/>
      <c r="D245" s="45"/>
      <c r="E245" s="45"/>
      <c r="F245" s="51"/>
      <c r="G245" s="51"/>
      <c r="H245" s="51">
        <v>0</v>
      </c>
      <c r="I245" s="51">
        <v>0</v>
      </c>
      <c r="J245" s="51">
        <v>0</v>
      </c>
    </row>
    <row r="246" spans="1:10">
      <c r="A246" s="85" t="str">
        <f>IF(Referral!B246="Yes", Referral!A246, IF(Referral!B246="No", "Screening Needed", ""))</f>
        <v/>
      </c>
      <c r="B246" s="49"/>
      <c r="C246" s="50"/>
      <c r="D246" s="45"/>
      <c r="E246" s="45"/>
      <c r="F246" s="51"/>
      <c r="G246" s="51"/>
      <c r="H246" s="51">
        <v>0</v>
      </c>
      <c r="I246" s="51">
        <v>0</v>
      </c>
      <c r="J246" s="51">
        <v>0</v>
      </c>
    </row>
    <row r="247" spans="1:10">
      <c r="A247" s="85" t="str">
        <f>IF(Referral!B247="Yes", Referral!A247, IF(Referral!B247="No", "Screening Needed", ""))</f>
        <v/>
      </c>
      <c r="B247" s="49"/>
      <c r="C247" s="50"/>
      <c r="D247" s="45"/>
      <c r="E247" s="45"/>
      <c r="F247" s="51"/>
      <c r="G247" s="51"/>
      <c r="H247" s="51">
        <v>0</v>
      </c>
      <c r="I247" s="51">
        <v>0</v>
      </c>
      <c r="J247" s="51">
        <v>0</v>
      </c>
    </row>
    <row r="248" spans="1:10">
      <c r="A248" s="85" t="str">
        <f>IF(Referral!B248="Yes", Referral!A248, IF(Referral!B248="No", "Screening Needed", ""))</f>
        <v/>
      </c>
      <c r="B248" s="49"/>
      <c r="C248" s="50"/>
      <c r="D248" s="45"/>
      <c r="E248" s="45"/>
      <c r="F248" s="51"/>
      <c r="G248" s="51"/>
      <c r="H248" s="51">
        <v>0</v>
      </c>
      <c r="I248" s="51">
        <v>0</v>
      </c>
      <c r="J248" s="51">
        <v>0</v>
      </c>
    </row>
    <row r="249" spans="1:10">
      <c r="A249" s="85" t="str">
        <f>IF(Referral!B249="Yes", Referral!A249, IF(Referral!B249="No", "Screening Needed", ""))</f>
        <v/>
      </c>
      <c r="B249" s="49"/>
      <c r="C249" s="50"/>
      <c r="D249" s="45"/>
      <c r="E249" s="45"/>
      <c r="F249" s="51"/>
      <c r="G249" s="51"/>
      <c r="H249" s="51">
        <v>0</v>
      </c>
      <c r="I249" s="51">
        <v>0</v>
      </c>
      <c r="J249" s="51">
        <v>0</v>
      </c>
    </row>
    <row r="250" spans="1:10">
      <c r="A250" s="85" t="str">
        <f>IF(Referral!B250="Yes", Referral!A250, IF(Referral!B250="No", "Screening Needed", ""))</f>
        <v/>
      </c>
      <c r="B250" s="49"/>
      <c r="C250" s="50"/>
      <c r="D250" s="45"/>
      <c r="E250" s="45"/>
      <c r="F250" s="51"/>
      <c r="G250" s="51"/>
      <c r="H250" s="51">
        <v>0</v>
      </c>
      <c r="I250" s="51">
        <v>0</v>
      </c>
      <c r="J250" s="51">
        <v>0</v>
      </c>
    </row>
    <row r="251" spans="1:10">
      <c r="A251" s="85" t="str">
        <f>IF(Referral!B251="Yes", Referral!A251, IF(Referral!B251="No", "Screening Needed", ""))</f>
        <v/>
      </c>
      <c r="B251" s="49"/>
      <c r="C251" s="50"/>
      <c r="D251" s="45"/>
      <c r="E251" s="45"/>
      <c r="F251" s="51"/>
      <c r="G251" s="51"/>
      <c r="H251" s="51">
        <v>0</v>
      </c>
      <c r="I251" s="51">
        <v>0</v>
      </c>
      <c r="J251" s="51">
        <v>0</v>
      </c>
    </row>
    <row r="252" spans="1:10">
      <c r="A252" s="85" t="str">
        <f>IF(Referral!B252="Yes", Referral!A252, IF(Referral!B252="No", "Screening Needed", ""))</f>
        <v/>
      </c>
      <c r="B252" s="49"/>
      <c r="C252" s="50"/>
      <c r="D252" s="45"/>
      <c r="E252" s="45"/>
      <c r="F252" s="51"/>
      <c r="G252" s="51"/>
      <c r="H252" s="51">
        <v>0</v>
      </c>
      <c r="I252" s="51">
        <v>0</v>
      </c>
      <c r="J252" s="51">
        <v>0</v>
      </c>
    </row>
    <row r="253" spans="1:10">
      <c r="A253" s="85" t="str">
        <f>IF(Referral!B253="Yes", Referral!A253, IF(Referral!B253="No", "Screening Needed", ""))</f>
        <v/>
      </c>
      <c r="B253" s="49"/>
      <c r="C253" s="50"/>
      <c r="D253" s="45"/>
      <c r="E253" s="45"/>
      <c r="F253" s="51"/>
      <c r="G253" s="51"/>
      <c r="H253" s="51">
        <v>0</v>
      </c>
      <c r="I253" s="51">
        <v>0</v>
      </c>
      <c r="J253" s="51">
        <v>0</v>
      </c>
    </row>
    <row r="254" spans="1:10">
      <c r="A254" s="85" t="str">
        <f>IF(Referral!B254="Yes", Referral!A254, IF(Referral!B254="No", "Screening Needed", ""))</f>
        <v/>
      </c>
      <c r="B254" s="49"/>
      <c r="C254" s="50"/>
      <c r="D254" s="45"/>
      <c r="E254" s="45"/>
      <c r="F254" s="51"/>
      <c r="G254" s="51"/>
      <c r="H254" s="51">
        <v>0</v>
      </c>
      <c r="I254" s="51">
        <v>0</v>
      </c>
      <c r="J254" s="51">
        <v>0</v>
      </c>
    </row>
    <row r="255" spans="1:10">
      <c r="A255" s="85" t="str">
        <f>IF(Referral!B255="Yes", Referral!A255, IF(Referral!B255="No", "Screening Needed", ""))</f>
        <v/>
      </c>
      <c r="B255" s="49"/>
      <c r="C255" s="50"/>
      <c r="D255" s="45"/>
      <c r="E255" s="45"/>
      <c r="F255" s="51"/>
      <c r="G255" s="51"/>
      <c r="H255" s="51">
        <v>0</v>
      </c>
      <c r="I255" s="51">
        <v>0</v>
      </c>
      <c r="J255" s="51">
        <v>0</v>
      </c>
    </row>
    <row r="256" spans="1:10">
      <c r="A256" s="85" t="str">
        <f>IF(Referral!B256="Yes", Referral!A256, IF(Referral!B256="No", "Screening Needed", ""))</f>
        <v/>
      </c>
      <c r="B256" s="49"/>
      <c r="C256" s="50"/>
      <c r="D256" s="45"/>
      <c r="E256" s="45"/>
      <c r="F256" s="51"/>
      <c r="G256" s="51"/>
      <c r="H256" s="51">
        <v>0</v>
      </c>
      <c r="I256" s="51">
        <v>0</v>
      </c>
      <c r="J256" s="51">
        <v>0</v>
      </c>
    </row>
    <row r="257" spans="1:10">
      <c r="A257" s="85" t="str">
        <f>IF(Referral!B257="Yes", Referral!A257, IF(Referral!B257="No", "Screening Needed", ""))</f>
        <v/>
      </c>
      <c r="B257" s="49"/>
      <c r="C257" s="50"/>
      <c r="D257" s="45"/>
      <c r="E257" s="45"/>
      <c r="F257" s="51"/>
      <c r="G257" s="51"/>
      <c r="H257" s="51">
        <v>0</v>
      </c>
      <c r="I257" s="51">
        <v>0</v>
      </c>
      <c r="J257" s="51">
        <v>0</v>
      </c>
    </row>
    <row r="258" spans="1:10">
      <c r="A258" s="85" t="str">
        <f>IF(Referral!B258="Yes", Referral!A258, IF(Referral!B258="No", "Screening Needed", ""))</f>
        <v/>
      </c>
      <c r="B258" s="49"/>
      <c r="C258" s="50"/>
      <c r="D258" s="45"/>
      <c r="E258" s="45"/>
      <c r="F258" s="51"/>
      <c r="G258" s="51"/>
      <c r="H258" s="51">
        <v>0</v>
      </c>
      <c r="I258" s="51">
        <v>0</v>
      </c>
      <c r="J258" s="51">
        <v>0</v>
      </c>
    </row>
    <row r="259" spans="1:10">
      <c r="A259" s="85" t="str">
        <f>IF(Referral!B259="Yes", Referral!A259, IF(Referral!B259="No", "Screening Needed", ""))</f>
        <v/>
      </c>
      <c r="B259" s="49"/>
      <c r="C259" s="50"/>
      <c r="D259" s="45"/>
      <c r="E259" s="45"/>
      <c r="F259" s="51"/>
      <c r="G259" s="51"/>
      <c r="H259" s="51">
        <v>0</v>
      </c>
      <c r="I259" s="51">
        <v>0</v>
      </c>
      <c r="J259" s="51">
        <v>0</v>
      </c>
    </row>
    <row r="260" spans="1:10">
      <c r="A260" s="85" t="str">
        <f>IF(Referral!B260="Yes", Referral!A260, IF(Referral!B260="No", "Screening Needed", ""))</f>
        <v/>
      </c>
      <c r="B260" s="49"/>
      <c r="C260" s="50"/>
      <c r="D260" s="45"/>
      <c r="E260" s="45"/>
      <c r="F260" s="51"/>
      <c r="G260" s="51"/>
      <c r="H260" s="51">
        <v>0</v>
      </c>
      <c r="I260" s="51">
        <v>0</v>
      </c>
      <c r="J260" s="51">
        <v>0</v>
      </c>
    </row>
    <row r="261" spans="1:10">
      <c r="A261" s="85" t="str">
        <f>IF(Referral!B261="Yes", Referral!A261, IF(Referral!B261="No", "Screening Needed", ""))</f>
        <v/>
      </c>
      <c r="B261" s="49"/>
      <c r="C261" s="50"/>
      <c r="D261" s="45"/>
      <c r="E261" s="45"/>
      <c r="F261" s="51"/>
      <c r="G261" s="51"/>
      <c r="H261" s="51">
        <v>0</v>
      </c>
      <c r="I261" s="51">
        <v>0</v>
      </c>
      <c r="J261" s="51">
        <v>0</v>
      </c>
    </row>
    <row r="262" spans="1:10">
      <c r="A262" s="85" t="str">
        <f>IF(Referral!B262="Yes", Referral!A262, IF(Referral!B262="No", "Screening Needed", ""))</f>
        <v/>
      </c>
      <c r="B262" s="49"/>
      <c r="C262" s="50"/>
      <c r="D262" s="45"/>
      <c r="E262" s="45"/>
      <c r="F262" s="51"/>
      <c r="G262" s="51"/>
      <c r="H262" s="51">
        <v>0</v>
      </c>
      <c r="I262" s="51">
        <v>0</v>
      </c>
      <c r="J262" s="51">
        <v>0</v>
      </c>
    </row>
    <row r="263" spans="1:10">
      <c r="A263" s="85" t="str">
        <f>IF(Referral!B263="Yes", Referral!A263, IF(Referral!B263="No", "Screening Needed", ""))</f>
        <v/>
      </c>
      <c r="B263" s="49"/>
      <c r="C263" s="50"/>
      <c r="D263" s="45"/>
      <c r="E263" s="45"/>
      <c r="F263" s="51"/>
      <c r="G263" s="51"/>
      <c r="H263" s="51">
        <v>0</v>
      </c>
      <c r="I263" s="51">
        <v>0</v>
      </c>
      <c r="J263" s="51">
        <v>0</v>
      </c>
    </row>
    <row r="264" spans="1:10">
      <c r="A264" s="85" t="str">
        <f>IF(Referral!B264="Yes", Referral!A264, IF(Referral!B264="No", "Screening Needed", ""))</f>
        <v/>
      </c>
      <c r="B264" s="49"/>
      <c r="C264" s="50"/>
      <c r="D264" s="45"/>
      <c r="E264" s="45"/>
      <c r="F264" s="51"/>
      <c r="G264" s="51"/>
      <c r="H264" s="51">
        <v>0</v>
      </c>
      <c r="I264" s="51">
        <v>0</v>
      </c>
      <c r="J264" s="51">
        <v>0</v>
      </c>
    </row>
    <row r="265" spans="1:10">
      <c r="A265" s="85" t="str">
        <f>IF(Referral!B265="Yes", Referral!A265, IF(Referral!B265="No", "Screening Needed", ""))</f>
        <v/>
      </c>
      <c r="B265" s="49"/>
      <c r="C265" s="50"/>
      <c r="D265" s="45"/>
      <c r="E265" s="45"/>
      <c r="F265" s="51"/>
      <c r="G265" s="51"/>
      <c r="H265" s="51">
        <v>0</v>
      </c>
      <c r="I265" s="51">
        <v>0</v>
      </c>
      <c r="J265" s="51">
        <v>0</v>
      </c>
    </row>
    <row r="266" spans="1:10">
      <c r="A266" s="85" t="str">
        <f>IF(Referral!B266="Yes", Referral!A266, IF(Referral!B266="No", "Screening Needed", ""))</f>
        <v/>
      </c>
      <c r="B266" s="49"/>
      <c r="C266" s="50"/>
      <c r="D266" s="45"/>
      <c r="E266" s="45"/>
      <c r="F266" s="51"/>
      <c r="G266" s="51"/>
      <c r="H266" s="51">
        <v>0</v>
      </c>
      <c r="I266" s="51">
        <v>0</v>
      </c>
      <c r="J266" s="51">
        <v>0</v>
      </c>
    </row>
    <row r="267" spans="1:10">
      <c r="A267" s="85" t="str">
        <f>IF(Referral!B267="Yes", Referral!A267, IF(Referral!B267="No", "Screening Needed", ""))</f>
        <v/>
      </c>
      <c r="B267" s="49"/>
      <c r="C267" s="50"/>
      <c r="D267" s="45"/>
      <c r="E267" s="45"/>
      <c r="F267" s="51"/>
      <c r="G267" s="51"/>
      <c r="H267" s="51">
        <v>0</v>
      </c>
      <c r="I267" s="51">
        <v>0</v>
      </c>
      <c r="J267" s="51">
        <v>0</v>
      </c>
    </row>
    <row r="268" spans="1:10">
      <c r="A268" s="85" t="str">
        <f>IF(Referral!B268="Yes", Referral!A268, IF(Referral!B268="No", "Screening Needed", ""))</f>
        <v/>
      </c>
      <c r="B268" s="49"/>
      <c r="C268" s="50"/>
      <c r="D268" s="45"/>
      <c r="E268" s="45"/>
      <c r="F268" s="51"/>
      <c r="G268" s="51"/>
      <c r="H268" s="51">
        <v>0</v>
      </c>
      <c r="I268" s="51">
        <v>0</v>
      </c>
      <c r="J268" s="51">
        <v>0</v>
      </c>
    </row>
    <row r="269" spans="1:10">
      <c r="A269" s="85" t="str">
        <f>IF(Referral!B269="Yes", Referral!A269, IF(Referral!B269="No", "Screening Needed", ""))</f>
        <v/>
      </c>
      <c r="B269" s="49"/>
      <c r="C269" s="50"/>
      <c r="D269" s="45"/>
      <c r="E269" s="45"/>
      <c r="F269" s="51"/>
      <c r="G269" s="51"/>
      <c r="H269" s="51">
        <v>0</v>
      </c>
      <c r="I269" s="51">
        <v>0</v>
      </c>
      <c r="J269" s="51">
        <v>0</v>
      </c>
    </row>
    <row r="270" spans="1:10">
      <c r="A270" s="85" t="str">
        <f>IF(Referral!B270="Yes", Referral!A270, IF(Referral!B270="No", "Screening Needed", ""))</f>
        <v/>
      </c>
      <c r="B270" s="49"/>
      <c r="C270" s="50"/>
      <c r="D270" s="45"/>
      <c r="E270" s="45"/>
      <c r="F270" s="51"/>
      <c r="G270" s="51"/>
      <c r="H270" s="51">
        <v>0</v>
      </c>
      <c r="I270" s="51">
        <v>0</v>
      </c>
      <c r="J270" s="51">
        <v>0</v>
      </c>
    </row>
    <row r="271" spans="1:10">
      <c r="A271" s="85" t="str">
        <f>IF(Referral!B271="Yes", Referral!A271, IF(Referral!B271="No", "Screening Needed", ""))</f>
        <v/>
      </c>
      <c r="B271" s="49"/>
      <c r="C271" s="50"/>
      <c r="D271" s="45"/>
      <c r="E271" s="45"/>
      <c r="F271" s="51"/>
      <c r="G271" s="51"/>
      <c r="H271" s="51">
        <v>0</v>
      </c>
      <c r="I271" s="51">
        <v>0</v>
      </c>
      <c r="J271" s="51">
        <v>0</v>
      </c>
    </row>
    <row r="272" spans="1:10">
      <c r="A272" s="85" t="str">
        <f>IF(Referral!B272="Yes", Referral!A272, IF(Referral!B272="No", "Screening Needed", ""))</f>
        <v/>
      </c>
      <c r="B272" s="49"/>
      <c r="C272" s="50"/>
      <c r="D272" s="45"/>
      <c r="E272" s="45"/>
      <c r="F272" s="51"/>
      <c r="G272" s="51"/>
      <c r="H272" s="51">
        <v>0</v>
      </c>
      <c r="I272" s="51">
        <v>0</v>
      </c>
      <c r="J272" s="51">
        <v>0</v>
      </c>
    </row>
    <row r="273" spans="1:10">
      <c r="A273" s="85" t="str">
        <f>IF(Referral!B273="Yes", Referral!A273, IF(Referral!B273="No", "Screening Needed", ""))</f>
        <v/>
      </c>
      <c r="B273" s="49"/>
      <c r="C273" s="50"/>
      <c r="D273" s="45"/>
      <c r="E273" s="45"/>
      <c r="F273" s="51"/>
      <c r="G273" s="51"/>
      <c r="H273" s="51">
        <v>0</v>
      </c>
      <c r="I273" s="51">
        <v>0</v>
      </c>
      <c r="J273" s="51">
        <v>0</v>
      </c>
    </row>
    <row r="274" spans="1:10">
      <c r="A274" s="85" t="str">
        <f>IF(Referral!B274="Yes", Referral!A274, IF(Referral!B274="No", "Screening Needed", ""))</f>
        <v/>
      </c>
      <c r="B274" s="49"/>
      <c r="C274" s="50"/>
      <c r="D274" s="45"/>
      <c r="E274" s="45"/>
      <c r="F274" s="51"/>
      <c r="G274" s="51"/>
      <c r="H274" s="51">
        <v>0</v>
      </c>
      <c r="I274" s="51">
        <v>0</v>
      </c>
      <c r="J274" s="51">
        <v>0</v>
      </c>
    </row>
    <row r="275" spans="1:10">
      <c r="A275" s="85" t="str">
        <f>IF(Referral!B275="Yes", Referral!A275, IF(Referral!B275="No", "Screening Needed", ""))</f>
        <v/>
      </c>
      <c r="B275" s="49"/>
      <c r="C275" s="50"/>
      <c r="D275" s="45"/>
      <c r="E275" s="45"/>
      <c r="F275" s="51"/>
      <c r="G275" s="51"/>
      <c r="H275" s="51">
        <v>0</v>
      </c>
      <c r="I275" s="51">
        <v>0</v>
      </c>
      <c r="J275" s="51">
        <v>0</v>
      </c>
    </row>
    <row r="276" spans="1:10">
      <c r="A276" s="85" t="str">
        <f>IF(Referral!B276="Yes", Referral!A276, IF(Referral!B276="No", "Screening Needed", ""))</f>
        <v/>
      </c>
      <c r="B276" s="49"/>
      <c r="C276" s="50"/>
      <c r="D276" s="45"/>
      <c r="E276" s="45"/>
      <c r="F276" s="51"/>
      <c r="G276" s="51"/>
      <c r="H276" s="51">
        <v>0</v>
      </c>
      <c r="I276" s="51">
        <v>0</v>
      </c>
      <c r="J276" s="51">
        <v>0</v>
      </c>
    </row>
    <row r="277" spans="1:10">
      <c r="A277" s="85" t="str">
        <f>IF(Referral!B277="Yes", Referral!A277, IF(Referral!B277="No", "Screening Needed", ""))</f>
        <v/>
      </c>
      <c r="B277" s="49"/>
      <c r="C277" s="50"/>
      <c r="D277" s="45"/>
      <c r="E277" s="45"/>
      <c r="F277" s="51"/>
      <c r="G277" s="51"/>
      <c r="H277" s="51">
        <v>0</v>
      </c>
      <c r="I277" s="51">
        <v>0</v>
      </c>
      <c r="J277" s="51">
        <v>0</v>
      </c>
    </row>
    <row r="278" spans="1:10">
      <c r="A278" s="85" t="str">
        <f>IF(Referral!B278="Yes", Referral!A278, IF(Referral!B278="No", "Screening Needed", ""))</f>
        <v/>
      </c>
      <c r="B278" s="49"/>
      <c r="C278" s="50"/>
      <c r="D278" s="45"/>
      <c r="E278" s="45"/>
      <c r="F278" s="51"/>
      <c r="G278" s="51"/>
      <c r="H278" s="51">
        <v>0</v>
      </c>
      <c r="I278" s="51">
        <v>0</v>
      </c>
      <c r="J278" s="51">
        <v>0</v>
      </c>
    </row>
    <row r="279" spans="1:10">
      <c r="A279" s="85" t="str">
        <f>IF(Referral!B279="Yes", Referral!A279, IF(Referral!B279="No", "Screening Needed", ""))</f>
        <v/>
      </c>
      <c r="B279" s="49"/>
      <c r="C279" s="50"/>
      <c r="D279" s="45"/>
      <c r="E279" s="45"/>
      <c r="F279" s="51"/>
      <c r="G279" s="51"/>
      <c r="H279" s="51">
        <v>0</v>
      </c>
      <c r="I279" s="51">
        <v>0</v>
      </c>
      <c r="J279" s="51">
        <v>0</v>
      </c>
    </row>
    <row r="280" spans="1:10">
      <c r="A280" s="85" t="str">
        <f>IF(Referral!B280="Yes", Referral!A280, IF(Referral!B280="No", "Screening Needed", ""))</f>
        <v/>
      </c>
      <c r="B280" s="49"/>
      <c r="C280" s="50"/>
      <c r="D280" s="45"/>
      <c r="E280" s="45"/>
      <c r="F280" s="51"/>
      <c r="G280" s="51"/>
      <c r="H280" s="51">
        <v>0</v>
      </c>
      <c r="I280" s="51">
        <v>0</v>
      </c>
      <c r="J280" s="51">
        <v>0</v>
      </c>
    </row>
    <row r="281" spans="1:10">
      <c r="A281" s="85" t="str">
        <f>IF(Referral!B281="Yes", Referral!A281, IF(Referral!B281="No", "Screening Needed", ""))</f>
        <v/>
      </c>
      <c r="B281" s="49"/>
      <c r="C281" s="50"/>
      <c r="D281" s="45"/>
      <c r="E281" s="45"/>
      <c r="F281" s="51"/>
      <c r="G281" s="51"/>
      <c r="H281" s="51">
        <v>0</v>
      </c>
      <c r="I281" s="51">
        <v>0</v>
      </c>
      <c r="J281" s="51">
        <v>0</v>
      </c>
    </row>
    <row r="282" spans="1:10">
      <c r="A282" s="85" t="str">
        <f>IF(Referral!B282="Yes", Referral!A282, IF(Referral!B282="No", "Screening Needed", ""))</f>
        <v/>
      </c>
      <c r="B282" s="49"/>
      <c r="C282" s="50"/>
      <c r="D282" s="45"/>
      <c r="E282" s="45"/>
      <c r="F282" s="51"/>
      <c r="G282" s="51"/>
      <c r="H282" s="51">
        <v>0</v>
      </c>
      <c r="I282" s="51">
        <v>0</v>
      </c>
      <c r="J282" s="51">
        <v>0</v>
      </c>
    </row>
    <row r="283" spans="1:10">
      <c r="A283" s="85" t="str">
        <f>IF(Referral!B283="Yes", Referral!A283, IF(Referral!B283="No", "Screening Needed", ""))</f>
        <v/>
      </c>
      <c r="B283" s="49"/>
      <c r="C283" s="50"/>
      <c r="D283" s="45"/>
      <c r="E283" s="45"/>
      <c r="F283" s="51"/>
      <c r="G283" s="51"/>
      <c r="H283" s="51">
        <v>0</v>
      </c>
      <c r="I283" s="51">
        <v>0</v>
      </c>
      <c r="J283" s="51">
        <v>0</v>
      </c>
    </row>
    <row r="284" spans="1:10">
      <c r="A284" s="85" t="str">
        <f>IF(Referral!B284="Yes", Referral!A284, IF(Referral!B284="No", "Screening Needed", ""))</f>
        <v/>
      </c>
      <c r="B284" s="49"/>
      <c r="C284" s="50"/>
      <c r="D284" s="45"/>
      <c r="E284" s="45"/>
      <c r="F284" s="51"/>
      <c r="G284" s="51"/>
      <c r="H284" s="51">
        <v>0</v>
      </c>
      <c r="I284" s="51">
        <v>0</v>
      </c>
      <c r="J284" s="51">
        <v>0</v>
      </c>
    </row>
    <row r="285" spans="1:10">
      <c r="A285" s="85" t="str">
        <f>IF(Referral!B285="Yes", Referral!A285, IF(Referral!B285="No", "Screening Needed", ""))</f>
        <v/>
      </c>
      <c r="B285" s="49"/>
      <c r="C285" s="50"/>
      <c r="D285" s="45"/>
      <c r="E285" s="45"/>
      <c r="F285" s="51"/>
      <c r="G285" s="51"/>
      <c r="H285" s="51">
        <v>0</v>
      </c>
      <c r="I285" s="51">
        <v>0</v>
      </c>
      <c r="J285" s="51">
        <v>0</v>
      </c>
    </row>
    <row r="286" spans="1:10">
      <c r="A286" s="85" t="str">
        <f>IF(Referral!B286="Yes", Referral!A286, IF(Referral!B286="No", "Screening Needed", ""))</f>
        <v/>
      </c>
      <c r="B286" s="49"/>
      <c r="C286" s="50"/>
      <c r="D286" s="45"/>
      <c r="E286" s="45"/>
      <c r="F286" s="51"/>
      <c r="G286" s="51"/>
      <c r="H286" s="51">
        <v>0</v>
      </c>
      <c r="I286" s="51">
        <v>0</v>
      </c>
      <c r="J286" s="51">
        <v>0</v>
      </c>
    </row>
    <row r="287" spans="1:10">
      <c r="A287" s="85" t="str">
        <f>IF(Referral!B287="Yes", Referral!A287, IF(Referral!B287="No", "Screening Needed", ""))</f>
        <v/>
      </c>
      <c r="B287" s="49"/>
      <c r="C287" s="50"/>
      <c r="D287" s="45"/>
      <c r="E287" s="45"/>
      <c r="F287" s="51"/>
      <c r="G287" s="51"/>
      <c r="H287" s="51">
        <v>0</v>
      </c>
      <c r="I287" s="51">
        <v>0</v>
      </c>
      <c r="J287" s="51">
        <v>0</v>
      </c>
    </row>
    <row r="288" spans="1:10">
      <c r="A288" s="85" t="str">
        <f>IF(Referral!B288="Yes", Referral!A288, IF(Referral!B288="No", "Screening Needed", ""))</f>
        <v/>
      </c>
      <c r="B288" s="49"/>
      <c r="C288" s="50"/>
      <c r="D288" s="45"/>
      <c r="E288" s="45"/>
      <c r="F288" s="51"/>
      <c r="G288" s="51"/>
      <c r="H288" s="51">
        <v>0</v>
      </c>
      <c r="I288" s="51">
        <v>0</v>
      </c>
      <c r="J288" s="51">
        <v>0</v>
      </c>
    </row>
    <row r="289" spans="1:10">
      <c r="A289" s="85" t="str">
        <f>IF(Referral!B289="Yes", Referral!A289, IF(Referral!B289="No", "Screening Needed", ""))</f>
        <v/>
      </c>
      <c r="B289" s="49"/>
      <c r="C289" s="50"/>
      <c r="D289" s="45"/>
      <c r="E289" s="45"/>
      <c r="F289" s="51"/>
      <c r="G289" s="51"/>
      <c r="H289" s="51">
        <v>0</v>
      </c>
      <c r="I289" s="51">
        <v>0</v>
      </c>
      <c r="J289" s="51">
        <v>0</v>
      </c>
    </row>
    <row r="290" spans="1:10">
      <c r="A290" s="85" t="str">
        <f>IF(Referral!B290="Yes", Referral!A290, IF(Referral!B290="No", "Screening Needed", ""))</f>
        <v/>
      </c>
      <c r="B290" s="49"/>
      <c r="C290" s="50"/>
      <c r="D290" s="45"/>
      <c r="E290" s="45"/>
      <c r="F290" s="51"/>
      <c r="G290" s="51"/>
      <c r="H290" s="51">
        <v>0</v>
      </c>
      <c r="I290" s="51">
        <v>0</v>
      </c>
      <c r="J290" s="51">
        <v>0</v>
      </c>
    </row>
    <row r="291" spans="1:10">
      <c r="A291" s="85" t="str">
        <f>IF(Referral!B291="Yes", Referral!A291, IF(Referral!B291="No", "Screening Needed", ""))</f>
        <v/>
      </c>
      <c r="B291" s="49"/>
      <c r="C291" s="50"/>
      <c r="D291" s="45"/>
      <c r="E291" s="45"/>
      <c r="F291" s="51"/>
      <c r="G291" s="51"/>
      <c r="H291" s="51">
        <v>0</v>
      </c>
      <c r="I291" s="51">
        <v>0</v>
      </c>
      <c r="J291" s="51">
        <v>0</v>
      </c>
    </row>
    <row r="292" spans="1:10">
      <c r="A292" s="85" t="str">
        <f>IF(Referral!B292="Yes", Referral!A292, IF(Referral!B292="No", "Screening Needed", ""))</f>
        <v/>
      </c>
      <c r="B292" s="49"/>
      <c r="C292" s="50"/>
      <c r="D292" s="45"/>
      <c r="E292" s="45"/>
      <c r="F292" s="51"/>
      <c r="G292" s="51"/>
      <c r="H292" s="51">
        <v>0</v>
      </c>
      <c r="I292" s="51">
        <v>0</v>
      </c>
      <c r="J292" s="51">
        <v>0</v>
      </c>
    </row>
    <row r="293" spans="1:10">
      <c r="A293" s="85" t="str">
        <f>IF(Referral!B293="Yes", Referral!A293, IF(Referral!B293="No", "Screening Needed", ""))</f>
        <v/>
      </c>
      <c r="B293" s="49"/>
      <c r="C293" s="50"/>
      <c r="D293" s="45"/>
      <c r="E293" s="45"/>
      <c r="F293" s="51"/>
      <c r="G293" s="51"/>
      <c r="H293" s="51">
        <v>0</v>
      </c>
      <c r="I293" s="51">
        <v>0</v>
      </c>
      <c r="J293" s="51">
        <v>0</v>
      </c>
    </row>
    <row r="294" spans="1:10">
      <c r="A294" s="85" t="str">
        <f>IF(Referral!B294="Yes", Referral!A294, IF(Referral!B294="No", "Screening Needed", ""))</f>
        <v/>
      </c>
      <c r="B294" s="49"/>
      <c r="C294" s="50"/>
      <c r="D294" s="45"/>
      <c r="E294" s="45"/>
      <c r="F294" s="51"/>
      <c r="G294" s="51"/>
      <c r="H294" s="51">
        <v>0</v>
      </c>
      <c r="I294" s="51">
        <v>0</v>
      </c>
      <c r="J294" s="51">
        <v>0</v>
      </c>
    </row>
    <row r="295" spans="1:10">
      <c r="A295" s="85" t="str">
        <f>IF(Referral!B295="Yes", Referral!A295, IF(Referral!B295="No", "Screening Needed", ""))</f>
        <v/>
      </c>
      <c r="B295" s="49"/>
      <c r="C295" s="50"/>
      <c r="D295" s="45"/>
      <c r="E295" s="45"/>
      <c r="F295" s="51"/>
      <c r="G295" s="51"/>
      <c r="H295" s="51">
        <v>0</v>
      </c>
      <c r="I295" s="51">
        <v>0</v>
      </c>
      <c r="J295" s="51">
        <v>0</v>
      </c>
    </row>
    <row r="296" spans="1:10">
      <c r="A296" s="85" t="str">
        <f>IF(Referral!B296="Yes", Referral!A296, IF(Referral!B296="No", "Screening Needed", ""))</f>
        <v/>
      </c>
      <c r="B296" s="49"/>
      <c r="C296" s="50"/>
      <c r="D296" s="45"/>
      <c r="E296" s="45"/>
      <c r="F296" s="51"/>
      <c r="G296" s="51"/>
      <c r="H296" s="51">
        <v>0</v>
      </c>
      <c r="I296" s="51">
        <v>0</v>
      </c>
      <c r="J296" s="51">
        <v>0</v>
      </c>
    </row>
    <row r="297" spans="1:10">
      <c r="A297" s="85" t="str">
        <f>IF(Referral!B297="Yes", Referral!A297, IF(Referral!B297="No", "Screening Needed", ""))</f>
        <v/>
      </c>
      <c r="B297" s="49"/>
      <c r="C297" s="50"/>
      <c r="D297" s="45"/>
      <c r="E297" s="45"/>
      <c r="F297" s="51"/>
      <c r="G297" s="51"/>
      <c r="H297" s="51">
        <v>0</v>
      </c>
      <c r="I297" s="51">
        <v>0</v>
      </c>
      <c r="J297" s="51">
        <v>0</v>
      </c>
    </row>
    <row r="298" spans="1:10">
      <c r="A298" s="85" t="str">
        <f>IF(Referral!B298="Yes", Referral!A298, IF(Referral!B298="No", "Screening Needed", ""))</f>
        <v/>
      </c>
      <c r="B298" s="49"/>
      <c r="C298" s="50"/>
      <c r="D298" s="45"/>
      <c r="E298" s="45"/>
      <c r="F298" s="51"/>
      <c r="G298" s="51"/>
      <c r="H298" s="51">
        <v>0</v>
      </c>
      <c r="I298" s="51">
        <v>0</v>
      </c>
      <c r="J298" s="51">
        <v>0</v>
      </c>
    </row>
    <row r="299" spans="1:10">
      <c r="A299" s="85" t="str">
        <f>IF(Referral!B299="Yes", Referral!A299, IF(Referral!B299="No", "Screening Needed", ""))</f>
        <v/>
      </c>
      <c r="B299" s="49"/>
      <c r="C299" s="50"/>
      <c r="D299" s="45"/>
      <c r="E299" s="45"/>
      <c r="F299" s="51"/>
      <c r="G299" s="51"/>
      <c r="H299" s="51">
        <v>0</v>
      </c>
      <c r="I299" s="51">
        <v>0</v>
      </c>
      <c r="J299" s="51">
        <v>0</v>
      </c>
    </row>
    <row r="300" spans="1:10">
      <c r="A300" s="85" t="str">
        <f>IF(Referral!B300="Yes", Referral!A300, IF(Referral!B300="No", "Screening Needed", ""))</f>
        <v/>
      </c>
      <c r="B300" s="49"/>
      <c r="C300" s="50"/>
      <c r="D300" s="45"/>
      <c r="E300" s="45"/>
      <c r="F300" s="51"/>
      <c r="G300" s="51"/>
      <c r="H300" s="51">
        <v>0</v>
      </c>
      <c r="I300" s="51">
        <v>0</v>
      </c>
      <c r="J300" s="51">
        <v>0</v>
      </c>
    </row>
    <row r="301" spans="1:10">
      <c r="A301" s="85" t="str">
        <f>IF(Referral!B301="Yes", Referral!A301, IF(Referral!B301="No", "Screening Needed", ""))</f>
        <v/>
      </c>
      <c r="B301" s="49"/>
      <c r="C301" s="50"/>
      <c r="D301" s="45"/>
      <c r="E301" s="45"/>
      <c r="F301" s="51"/>
      <c r="G301" s="51"/>
      <c r="H301" s="51">
        <v>0</v>
      </c>
      <c r="I301" s="51">
        <v>0</v>
      </c>
      <c r="J301" s="51">
        <v>0</v>
      </c>
    </row>
    <row r="302" spans="1:10">
      <c r="A302" s="85" t="str">
        <f>IF(Referral!B302="Yes", Referral!A302, IF(Referral!B302="No", "Screening Needed", ""))</f>
        <v/>
      </c>
      <c r="B302" s="49"/>
      <c r="C302" s="50"/>
      <c r="D302" s="45"/>
      <c r="E302" s="45"/>
      <c r="F302" s="51"/>
      <c r="G302" s="51"/>
      <c r="H302" s="51">
        <v>0</v>
      </c>
      <c r="I302" s="51">
        <v>0</v>
      </c>
      <c r="J302" s="51">
        <v>0</v>
      </c>
    </row>
  </sheetData>
  <sheetProtection algorithmName="SHA-512" hashValue="OYQZcPOxOihBzATuj7lRu9tQzH0X7lrBks9MbnP5+zzHwUP7hT8YSWbGVn7cchcbPgEex+SnZXdnfIL3+we9ew==" saltValue="uV1YKGboL1IOnLZnY1L7zg==" spinCount="100000" sheet="1" objects="1" scenarios="1"/>
  <mergeCells count="1">
    <mergeCell ref="A1:J1"/>
  </mergeCells>
  <phoneticPr fontId="2" type="noConversion"/>
  <dataValidations count="3">
    <dataValidation type="whole" allowBlank="1" showInputMessage="1" showErrorMessage="1" errorTitle="Invalid Age" error="Please use an age between 4 and 21 years old!" sqref="C3:C302" xr:uid="{667B9DAD-E7C7-4B28-84F1-6D8F94384094}">
      <formula1>4</formula1>
      <formula2>21</formula2>
    </dataValidation>
    <dataValidation type="whole" allowBlank="1" showInputMessage="1" showErrorMessage="1" errorTitle="Invalid Entry" error="Please use a number between 0 and 100!" sqref="H3:J302" xr:uid="{DA3A1545-58A5-43EA-B405-B4869255DB61}">
      <formula1>0</formula1>
      <formula2>100</formula2>
    </dataValidation>
    <dataValidation type="date" operator="greaterThan" allowBlank="1" showInputMessage="1" showErrorMessage="1" errorTitle="Invalid Date" error="Please use a date after 1/1/2000!" sqref="B3:B302" xr:uid="{DEB41C18-1685-4A36-A7A3-62DDB0AD9830}">
      <formula1>36526</formula1>
    </dataValidation>
  </dataValidations>
  <pageMargins left="0.25" right="0.25" top="0.75" bottom="0.75" header="0.3" footer="0.3"/>
  <pageSetup orientation="landscape"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errorTitle="Invalid Entry" error="Please use the dropdown menu for your entry!" xr:uid="{93911B5D-F6BC-4321-9914-75727B519818}">
          <x14:formula1>
            <xm:f>'DropDown Lists'!$A$2:$A$14</xm:f>
          </x14:formula1>
          <xm:sqref>D3:D302</xm:sqref>
        </x14:dataValidation>
        <x14:dataValidation type="list" allowBlank="1" showInputMessage="1" showErrorMessage="1" errorTitle="Invalid Entry" error="Please use the dropdown menu for your entry!" xr:uid="{99B967F0-4BC1-4CBF-86CB-042D3D45FF77}">
          <x14:formula1>
            <xm:f>'DropDown Lists'!$B$2:$B$4</xm:f>
          </x14:formula1>
          <xm:sqref>E3:E302</xm:sqref>
        </x14:dataValidation>
        <x14:dataValidation type="list" allowBlank="1" showInputMessage="1" showErrorMessage="1" errorTitle="Invalid Entry" error="Please use the dropdown menu for your entry!" xr:uid="{73C24E80-1AD3-4705-949B-14709D71BACB}">
          <x14:formula1>
            <xm:f>'DropDown Lists'!$C$2:$C$8</xm:f>
          </x14:formula1>
          <xm:sqref>F3:F302</xm:sqref>
        </x14:dataValidation>
        <x14:dataValidation type="list" allowBlank="1" showInputMessage="1" showErrorMessage="1" errorTitle="Invalid Entry" error="Please use the dropdown menu for your entry!" xr:uid="{7F30BA1D-1118-43D0-8703-C4EBB9736F18}">
          <x14:formula1>
            <xm:f>'DropDown Lists'!$H$2:$H$53</xm:f>
          </x14:formula1>
          <xm:sqref>G3:G23 G25:G302 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1F3C-4923-4A23-B1A7-E05A511E4B67}">
  <sheetPr>
    <tabColor theme="9"/>
  </sheetPr>
  <dimension ref="A1:L3"/>
  <sheetViews>
    <sheetView zoomScale="145" zoomScaleNormal="145" workbookViewId="0">
      <selection activeCell="A3" sqref="A3"/>
    </sheetView>
  </sheetViews>
  <sheetFormatPr defaultRowHeight="15"/>
  <cols>
    <col min="2" max="2" width="12" bestFit="1" customWidth="1"/>
    <col min="3" max="3" width="9.5703125" bestFit="1" customWidth="1"/>
    <col min="4" max="4" width="11.5703125" bestFit="1" customWidth="1"/>
    <col min="5" max="5" width="11.28515625" bestFit="1" customWidth="1"/>
    <col min="6" max="6" width="9.140625" bestFit="1" customWidth="1"/>
    <col min="7" max="7" width="10.140625" bestFit="1" customWidth="1"/>
    <col min="8" max="8" width="8.140625" bestFit="1" customWidth="1"/>
    <col min="9" max="9" width="6.85546875" bestFit="1" customWidth="1"/>
    <col min="10" max="10" width="6.5703125" bestFit="1" customWidth="1"/>
    <col min="11" max="11" width="6.7109375" bestFit="1" customWidth="1"/>
    <col min="12" max="12" width="6" bestFit="1" customWidth="1"/>
  </cols>
  <sheetData>
    <row r="1" spans="1:12">
      <c r="A1" s="216" t="s">
        <v>19</v>
      </c>
      <c r="B1" s="216"/>
      <c r="C1" s="216"/>
      <c r="D1" s="216"/>
      <c r="E1" s="29">
        <f>SUM(Table5[])</f>
        <v>0</v>
      </c>
      <c r="F1" s="30"/>
      <c r="G1" s="30"/>
      <c r="H1" s="30"/>
      <c r="I1" s="30"/>
      <c r="J1" s="30"/>
      <c r="K1" s="30"/>
      <c r="L1" s="30"/>
    </row>
    <row r="2" spans="1:12">
      <c r="A2" s="31" t="s">
        <v>20</v>
      </c>
      <c r="B2" s="21" t="s">
        <v>21</v>
      </c>
      <c r="C2" s="21" t="s">
        <v>22</v>
      </c>
      <c r="D2" s="21" t="s">
        <v>23</v>
      </c>
      <c r="E2" s="21" t="s">
        <v>24</v>
      </c>
      <c r="F2" s="21" t="s">
        <v>25</v>
      </c>
      <c r="G2" s="21" t="s">
        <v>26</v>
      </c>
      <c r="H2" s="21" t="s">
        <v>27</v>
      </c>
      <c r="I2" s="21" t="s">
        <v>28</v>
      </c>
      <c r="J2" s="21" t="s">
        <v>29</v>
      </c>
      <c r="K2" s="21" t="s">
        <v>30</v>
      </c>
      <c r="L2" s="32" t="s">
        <v>31</v>
      </c>
    </row>
    <row r="3" spans="1:12">
      <c r="A3" s="39">
        <v>0</v>
      </c>
      <c r="B3" s="40">
        <v>0</v>
      </c>
      <c r="C3" s="40">
        <v>0</v>
      </c>
      <c r="D3" s="40">
        <v>0</v>
      </c>
      <c r="E3" s="40">
        <v>0</v>
      </c>
      <c r="F3" s="40">
        <v>0</v>
      </c>
      <c r="G3" s="40">
        <v>0</v>
      </c>
      <c r="H3" s="40">
        <v>0</v>
      </c>
      <c r="I3" s="40">
        <v>0</v>
      </c>
      <c r="J3" s="40">
        <v>0</v>
      </c>
      <c r="K3" s="40">
        <v>0</v>
      </c>
      <c r="L3" s="41">
        <v>0</v>
      </c>
    </row>
  </sheetData>
  <sheetProtection algorithmName="SHA-512" hashValue="Lj6+KofbLUz/co0DlgGnVz6cGanLpBXNgvtqtd9Vjs+dCkCHRU3ymDf9z2HGn1Z8DkRFGW8RayuOS8JJufrY8Q==" saltValue="B5RZ1FT4mgdOBVThI0zXCw==" spinCount="100000" sheet="1" objects="1" scenarios="1"/>
  <mergeCells count="1">
    <mergeCell ref="A1:D1"/>
  </mergeCells>
  <dataValidations count="1">
    <dataValidation type="whole" allowBlank="1" showInputMessage="1" showErrorMessage="1" errorTitle="Invalid Entry" error="Please use a number between 0 and 1000" sqref="A3:L3" xr:uid="{AF36A146-6A86-4EBB-A162-22CAECAE6420}">
      <formula1>0</formula1>
      <formula2>1000</formula2>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239B-76B7-4136-8C6F-4FE98212F3F5}">
  <sheetPr>
    <tabColor rgb="FFC00000"/>
  </sheetPr>
  <dimension ref="A1:E301"/>
  <sheetViews>
    <sheetView zoomScale="115" zoomScaleNormal="115" workbookViewId="0">
      <pane xSplit="1" ySplit="2" topLeftCell="B3" activePane="bottomRight" state="frozen"/>
      <selection pane="topRight" activeCell="B1" sqref="B1"/>
      <selection pane="bottomLeft" activeCell="A2" sqref="A2"/>
      <selection pane="bottomRight" activeCell="A3" sqref="A3"/>
    </sheetView>
  </sheetViews>
  <sheetFormatPr defaultRowHeight="15"/>
  <cols>
    <col min="1" max="1" width="22.7109375" customWidth="1"/>
    <col min="2" max="2" width="15.28515625" customWidth="1"/>
    <col min="3" max="3" width="46.5703125" customWidth="1"/>
    <col min="4" max="4" width="32.85546875" customWidth="1"/>
    <col min="5" max="5" width="15.5703125" customWidth="1"/>
  </cols>
  <sheetData>
    <row r="1" spans="1:5">
      <c r="A1" s="217" t="s">
        <v>32</v>
      </c>
      <c r="B1" s="217"/>
      <c r="C1" s="217"/>
      <c r="D1" s="217"/>
      <c r="E1" s="217"/>
    </row>
    <row r="2" spans="1:5" ht="60">
      <c r="A2" s="2" t="s">
        <v>33</v>
      </c>
      <c r="B2" s="13" t="s">
        <v>34</v>
      </c>
      <c r="C2" s="13" t="s">
        <v>35</v>
      </c>
      <c r="D2" s="13" t="s">
        <v>36</v>
      </c>
      <c r="E2" s="13" t="s">
        <v>37</v>
      </c>
    </row>
    <row r="3" spans="1:5">
      <c r="A3" s="85" t="str">
        <f>Roster!A3</f>
        <v/>
      </c>
      <c r="B3" s="42"/>
      <c r="C3" s="45"/>
      <c r="D3" s="45"/>
      <c r="E3" s="46"/>
    </row>
    <row r="4" spans="1:5">
      <c r="A4" s="85" t="str">
        <f>Roster!A4</f>
        <v/>
      </c>
      <c r="B4" s="42"/>
      <c r="C4" s="45"/>
      <c r="D4" s="45"/>
      <c r="E4" s="46"/>
    </row>
    <row r="5" spans="1:5">
      <c r="A5" s="85" t="str">
        <f>Roster!A5</f>
        <v/>
      </c>
      <c r="B5" s="42"/>
      <c r="C5" s="45"/>
      <c r="D5" s="45"/>
      <c r="E5" s="46"/>
    </row>
    <row r="6" spans="1:5">
      <c r="A6" s="85" t="str">
        <f>Roster!A6</f>
        <v/>
      </c>
      <c r="B6" s="42"/>
      <c r="C6" s="45"/>
      <c r="D6" s="45"/>
      <c r="E6" s="46"/>
    </row>
    <row r="7" spans="1:5">
      <c r="A7" s="85" t="str">
        <f>Roster!A7</f>
        <v/>
      </c>
      <c r="B7" s="42"/>
      <c r="C7" s="45"/>
      <c r="D7" s="45"/>
      <c r="E7" s="46"/>
    </row>
    <row r="8" spans="1:5">
      <c r="A8" s="85" t="str">
        <f>Roster!A8</f>
        <v/>
      </c>
      <c r="B8" s="42"/>
      <c r="C8" s="45"/>
      <c r="D8" s="45"/>
      <c r="E8" s="46"/>
    </row>
    <row r="9" spans="1:5">
      <c r="A9" s="85" t="str">
        <f>Roster!A9</f>
        <v/>
      </c>
      <c r="B9" s="42"/>
      <c r="C9" s="45"/>
      <c r="D9" s="45"/>
      <c r="E9" s="46"/>
    </row>
    <row r="10" spans="1:5">
      <c r="A10" s="85" t="str">
        <f>Roster!A10</f>
        <v/>
      </c>
      <c r="B10" s="42"/>
      <c r="C10" s="45"/>
      <c r="D10" s="45"/>
      <c r="E10" s="46"/>
    </row>
    <row r="11" spans="1:5">
      <c r="A11" s="85" t="str">
        <f>Roster!A11</f>
        <v/>
      </c>
      <c r="B11" s="42"/>
      <c r="C11" s="45"/>
      <c r="D11" s="45"/>
      <c r="E11" s="46"/>
    </row>
    <row r="12" spans="1:5">
      <c r="A12" s="85" t="str">
        <f>Roster!A12</f>
        <v/>
      </c>
      <c r="B12" s="42"/>
      <c r="C12" s="45"/>
      <c r="D12" s="45"/>
      <c r="E12" s="46"/>
    </row>
    <row r="13" spans="1:5">
      <c r="A13" s="85" t="str">
        <f>Roster!A13</f>
        <v/>
      </c>
      <c r="B13" s="42"/>
      <c r="C13" s="45"/>
      <c r="D13" s="45"/>
      <c r="E13" s="46"/>
    </row>
    <row r="14" spans="1:5">
      <c r="A14" s="85" t="str">
        <f>Roster!A14</f>
        <v/>
      </c>
      <c r="B14" s="42"/>
      <c r="C14" s="45"/>
      <c r="D14" s="45"/>
      <c r="E14" s="46"/>
    </row>
    <row r="15" spans="1:5">
      <c r="A15" s="85" t="str">
        <f>Roster!A15</f>
        <v/>
      </c>
      <c r="B15" s="42"/>
      <c r="C15" s="45"/>
      <c r="D15" s="45"/>
      <c r="E15" s="46"/>
    </row>
    <row r="16" spans="1:5">
      <c r="A16" s="85" t="str">
        <f>Roster!A16</f>
        <v/>
      </c>
      <c r="B16" s="42"/>
      <c r="C16" s="45"/>
      <c r="D16" s="45"/>
      <c r="E16" s="46"/>
    </row>
    <row r="17" spans="1:5">
      <c r="A17" s="85" t="str">
        <f>Roster!A17</f>
        <v/>
      </c>
      <c r="B17" s="42"/>
      <c r="C17" s="45"/>
      <c r="D17" s="45"/>
      <c r="E17" s="46"/>
    </row>
    <row r="18" spans="1:5">
      <c r="A18" s="85" t="str">
        <f>Roster!A18</f>
        <v/>
      </c>
      <c r="B18" s="42"/>
      <c r="C18" s="45"/>
      <c r="D18" s="45"/>
      <c r="E18" s="46"/>
    </row>
    <row r="19" spans="1:5">
      <c r="A19" s="85" t="str">
        <f>Roster!A19</f>
        <v/>
      </c>
      <c r="B19" s="42"/>
      <c r="C19" s="45"/>
      <c r="D19" s="45"/>
      <c r="E19" s="46"/>
    </row>
    <row r="20" spans="1:5">
      <c r="A20" s="85" t="str">
        <f>Roster!A20</f>
        <v/>
      </c>
      <c r="B20" s="42"/>
      <c r="C20" s="45"/>
      <c r="D20" s="45"/>
      <c r="E20" s="46"/>
    </row>
    <row r="21" spans="1:5">
      <c r="A21" s="85" t="str">
        <f>Roster!A21</f>
        <v/>
      </c>
      <c r="B21" s="42"/>
      <c r="C21" s="45"/>
      <c r="D21" s="45"/>
      <c r="E21" s="46"/>
    </row>
    <row r="22" spans="1:5">
      <c r="A22" s="85" t="str">
        <f>Roster!A22</f>
        <v/>
      </c>
      <c r="B22" s="42"/>
      <c r="C22" s="45"/>
      <c r="D22" s="45"/>
      <c r="E22" s="46"/>
    </row>
    <row r="23" spans="1:5">
      <c r="A23" s="85" t="str">
        <f>Roster!A23</f>
        <v/>
      </c>
      <c r="B23" s="42"/>
      <c r="C23" s="45"/>
      <c r="D23" s="45"/>
      <c r="E23" s="46"/>
    </row>
    <row r="24" spans="1:5">
      <c r="A24" s="85" t="str">
        <f>Roster!A24</f>
        <v/>
      </c>
      <c r="B24" s="42"/>
      <c r="C24" s="45"/>
      <c r="D24" s="45"/>
      <c r="E24" s="46"/>
    </row>
    <row r="25" spans="1:5">
      <c r="A25" s="85" t="str">
        <f>Roster!A25</f>
        <v/>
      </c>
      <c r="B25" s="42"/>
      <c r="C25" s="45"/>
      <c r="D25" s="45"/>
      <c r="E25" s="46"/>
    </row>
    <row r="26" spans="1:5">
      <c r="A26" s="85" t="str">
        <f>Roster!A26</f>
        <v/>
      </c>
      <c r="B26" s="42"/>
      <c r="C26" s="45"/>
      <c r="D26" s="45"/>
      <c r="E26" s="46"/>
    </row>
    <row r="27" spans="1:5">
      <c r="A27" s="85" t="str">
        <f>Roster!A27</f>
        <v/>
      </c>
      <c r="B27" s="42"/>
      <c r="C27" s="45"/>
      <c r="D27" s="45"/>
      <c r="E27" s="46"/>
    </row>
    <row r="28" spans="1:5">
      <c r="A28" s="85" t="str">
        <f>Roster!A28</f>
        <v/>
      </c>
      <c r="B28" s="42"/>
      <c r="C28" s="45"/>
      <c r="D28" s="45"/>
      <c r="E28" s="46"/>
    </row>
    <row r="29" spans="1:5">
      <c r="A29" s="85" t="str">
        <f>Roster!A29</f>
        <v/>
      </c>
      <c r="B29" s="42"/>
      <c r="C29" s="45"/>
      <c r="D29" s="45"/>
      <c r="E29" s="46"/>
    </row>
    <row r="30" spans="1:5">
      <c r="A30" s="85" t="str">
        <f>Roster!A30</f>
        <v/>
      </c>
      <c r="B30" s="42"/>
      <c r="C30" s="45"/>
      <c r="D30" s="45"/>
      <c r="E30" s="46"/>
    </row>
    <row r="31" spans="1:5">
      <c r="A31" s="85" t="str">
        <f>Roster!A31</f>
        <v/>
      </c>
      <c r="B31" s="42"/>
      <c r="C31" s="45"/>
      <c r="D31" s="45"/>
      <c r="E31" s="46"/>
    </row>
    <row r="32" spans="1:5">
      <c r="A32" s="85" t="str">
        <f>Roster!A32</f>
        <v/>
      </c>
      <c r="B32" s="42"/>
      <c r="C32" s="45"/>
      <c r="D32" s="45"/>
      <c r="E32" s="46"/>
    </row>
    <row r="33" spans="1:5">
      <c r="A33" s="85" t="str">
        <f>Roster!A33</f>
        <v/>
      </c>
      <c r="B33" s="42"/>
      <c r="C33" s="45"/>
      <c r="D33" s="45"/>
      <c r="E33" s="46"/>
    </row>
    <row r="34" spans="1:5">
      <c r="A34" s="85" t="str">
        <f>Roster!A34</f>
        <v/>
      </c>
      <c r="B34" s="42"/>
      <c r="C34" s="45"/>
      <c r="D34" s="45"/>
      <c r="E34" s="46"/>
    </row>
    <row r="35" spans="1:5">
      <c r="A35" s="85" t="str">
        <f>Roster!A35</f>
        <v/>
      </c>
      <c r="B35" s="42"/>
      <c r="C35" s="45"/>
      <c r="D35" s="45"/>
      <c r="E35" s="46"/>
    </row>
    <row r="36" spans="1:5">
      <c r="A36" s="85" t="str">
        <f>Roster!A36</f>
        <v/>
      </c>
      <c r="B36" s="42"/>
      <c r="C36" s="45"/>
      <c r="D36" s="45"/>
      <c r="E36" s="46"/>
    </row>
    <row r="37" spans="1:5">
      <c r="A37" s="85" t="str">
        <f>Roster!A37</f>
        <v/>
      </c>
      <c r="B37" s="42"/>
      <c r="C37" s="45"/>
      <c r="D37" s="45"/>
      <c r="E37" s="46"/>
    </row>
    <row r="38" spans="1:5">
      <c r="A38" s="85" t="str">
        <f>Roster!A38</f>
        <v/>
      </c>
      <c r="B38" s="42"/>
      <c r="C38" s="45"/>
      <c r="D38" s="45"/>
      <c r="E38" s="46"/>
    </row>
    <row r="39" spans="1:5">
      <c r="A39" s="85" t="str">
        <f>Roster!A39</f>
        <v/>
      </c>
      <c r="B39" s="42"/>
      <c r="C39" s="45"/>
      <c r="D39" s="45"/>
      <c r="E39" s="46"/>
    </row>
    <row r="40" spans="1:5">
      <c r="A40" s="85" t="str">
        <f>Roster!A40</f>
        <v/>
      </c>
      <c r="B40" s="42"/>
      <c r="C40" s="45"/>
      <c r="D40" s="45"/>
      <c r="E40" s="46"/>
    </row>
    <row r="41" spans="1:5">
      <c r="A41" s="85" t="str">
        <f>Roster!A41</f>
        <v/>
      </c>
      <c r="B41" s="42"/>
      <c r="C41" s="45"/>
      <c r="D41" s="45"/>
      <c r="E41" s="46"/>
    </row>
    <row r="42" spans="1:5">
      <c r="A42" s="85" t="str">
        <f>Roster!A42</f>
        <v/>
      </c>
      <c r="B42" s="42"/>
      <c r="C42" s="45"/>
      <c r="D42" s="45"/>
      <c r="E42" s="46"/>
    </row>
    <row r="43" spans="1:5">
      <c r="A43" s="85" t="str">
        <f>Roster!A43</f>
        <v/>
      </c>
      <c r="B43" s="42"/>
      <c r="C43" s="45"/>
      <c r="D43" s="45"/>
      <c r="E43" s="46"/>
    </row>
    <row r="44" spans="1:5">
      <c r="A44" s="85" t="str">
        <f>Roster!A44</f>
        <v/>
      </c>
      <c r="B44" s="42"/>
      <c r="C44" s="45"/>
      <c r="D44" s="45"/>
      <c r="E44" s="46"/>
    </row>
    <row r="45" spans="1:5">
      <c r="A45" s="85" t="str">
        <f>Roster!A45</f>
        <v/>
      </c>
      <c r="B45" s="42"/>
      <c r="C45" s="45"/>
      <c r="D45" s="45"/>
      <c r="E45" s="46"/>
    </row>
    <row r="46" spans="1:5">
      <c r="A46" s="85" t="str">
        <f>Roster!A46</f>
        <v/>
      </c>
      <c r="B46" s="42"/>
      <c r="C46" s="45"/>
      <c r="D46" s="45"/>
      <c r="E46" s="46"/>
    </row>
    <row r="47" spans="1:5">
      <c r="A47" s="85" t="str">
        <f>Roster!A47</f>
        <v/>
      </c>
      <c r="B47" s="42"/>
      <c r="C47" s="45"/>
      <c r="D47" s="45"/>
      <c r="E47" s="46"/>
    </row>
    <row r="48" spans="1:5">
      <c r="A48" s="85" t="str">
        <f>Roster!A48</f>
        <v/>
      </c>
      <c r="B48" s="42"/>
      <c r="C48" s="45"/>
      <c r="D48" s="45"/>
      <c r="E48" s="46"/>
    </row>
    <row r="49" spans="1:5">
      <c r="A49" s="85" t="str">
        <f>Roster!A49</f>
        <v/>
      </c>
      <c r="B49" s="42"/>
      <c r="C49" s="45"/>
      <c r="D49" s="45"/>
      <c r="E49" s="46"/>
    </row>
    <row r="50" spans="1:5">
      <c r="A50" s="85" t="str">
        <f>Roster!A50</f>
        <v/>
      </c>
      <c r="B50" s="42"/>
      <c r="C50" s="45"/>
      <c r="D50" s="45"/>
      <c r="E50" s="46"/>
    </row>
    <row r="51" spans="1:5">
      <c r="A51" s="85" t="str">
        <f>Roster!A51</f>
        <v/>
      </c>
      <c r="B51" s="42"/>
      <c r="C51" s="45"/>
      <c r="D51" s="45"/>
      <c r="E51" s="46"/>
    </row>
    <row r="52" spans="1:5">
      <c r="A52" s="85" t="str">
        <f>Roster!A52</f>
        <v/>
      </c>
      <c r="B52" s="43"/>
      <c r="C52" s="47"/>
      <c r="D52" s="47"/>
      <c r="E52" s="41"/>
    </row>
    <row r="53" spans="1:5">
      <c r="A53" s="85" t="str">
        <f>Roster!A53</f>
        <v/>
      </c>
      <c r="B53" s="42"/>
      <c r="C53" s="45"/>
      <c r="D53" s="45"/>
      <c r="E53" s="46"/>
    </row>
    <row r="54" spans="1:5">
      <c r="A54" s="85" t="str">
        <f>Roster!A54</f>
        <v/>
      </c>
      <c r="B54" s="42"/>
      <c r="C54" s="45"/>
      <c r="D54" s="45"/>
      <c r="E54" s="46"/>
    </row>
    <row r="55" spans="1:5">
      <c r="A55" s="85" t="str">
        <f>Roster!A55</f>
        <v/>
      </c>
      <c r="B55" s="42"/>
      <c r="C55" s="45"/>
      <c r="D55" s="45"/>
      <c r="E55" s="46"/>
    </row>
    <row r="56" spans="1:5">
      <c r="A56" s="85" t="str">
        <f>Roster!A56</f>
        <v/>
      </c>
      <c r="B56" s="42"/>
      <c r="C56" s="45"/>
      <c r="D56" s="45"/>
      <c r="E56" s="46"/>
    </row>
    <row r="57" spans="1:5">
      <c r="A57" s="85" t="str">
        <f>Roster!A57</f>
        <v/>
      </c>
      <c r="B57" s="42"/>
      <c r="C57" s="45"/>
      <c r="D57" s="45"/>
      <c r="E57" s="46"/>
    </row>
    <row r="58" spans="1:5">
      <c r="A58" s="85" t="str">
        <f>Roster!A58</f>
        <v/>
      </c>
      <c r="B58" s="42"/>
      <c r="C58" s="45"/>
      <c r="D58" s="45"/>
      <c r="E58" s="46"/>
    </row>
    <row r="59" spans="1:5">
      <c r="A59" s="85" t="str">
        <f>Roster!A59</f>
        <v/>
      </c>
      <c r="B59" s="42"/>
      <c r="C59" s="45"/>
      <c r="D59" s="45"/>
      <c r="E59" s="46"/>
    </row>
    <row r="60" spans="1:5">
      <c r="A60" s="85" t="str">
        <f>Roster!A60</f>
        <v/>
      </c>
      <c r="B60" s="42"/>
      <c r="C60" s="45"/>
      <c r="D60" s="45"/>
      <c r="E60" s="46"/>
    </row>
    <row r="61" spans="1:5">
      <c r="A61" s="85" t="str">
        <f>Roster!A61</f>
        <v/>
      </c>
      <c r="B61" s="42"/>
      <c r="C61" s="45"/>
      <c r="D61" s="45"/>
      <c r="E61" s="46"/>
    </row>
    <row r="62" spans="1:5">
      <c r="A62" s="85" t="str">
        <f>Roster!A62</f>
        <v/>
      </c>
      <c r="B62" s="42"/>
      <c r="C62" s="45"/>
      <c r="D62" s="45"/>
      <c r="E62" s="46"/>
    </row>
    <row r="63" spans="1:5">
      <c r="A63" s="85" t="str">
        <f>Roster!A63</f>
        <v/>
      </c>
      <c r="B63" s="42"/>
      <c r="C63" s="45"/>
      <c r="D63" s="45"/>
      <c r="E63" s="46"/>
    </row>
    <row r="64" spans="1:5">
      <c r="A64" s="85" t="str">
        <f>Roster!A64</f>
        <v/>
      </c>
      <c r="B64" s="42"/>
      <c r="C64" s="45"/>
      <c r="D64" s="45"/>
      <c r="E64" s="46"/>
    </row>
    <row r="65" spans="1:5">
      <c r="A65" s="85" t="str">
        <f>Roster!A65</f>
        <v/>
      </c>
      <c r="B65" s="42"/>
      <c r="C65" s="45"/>
      <c r="D65" s="45"/>
      <c r="E65" s="46"/>
    </row>
    <row r="66" spans="1:5">
      <c r="A66" s="85" t="str">
        <f>Roster!A66</f>
        <v/>
      </c>
      <c r="B66" s="42"/>
      <c r="C66" s="45"/>
      <c r="D66" s="45"/>
      <c r="E66" s="46"/>
    </row>
    <row r="67" spans="1:5">
      <c r="A67" s="85" t="str">
        <f>Roster!A67</f>
        <v/>
      </c>
      <c r="B67" s="42"/>
      <c r="C67" s="45"/>
      <c r="D67" s="45"/>
      <c r="E67" s="46"/>
    </row>
    <row r="68" spans="1:5">
      <c r="A68" s="85" t="str">
        <f>Roster!A68</f>
        <v/>
      </c>
      <c r="B68" s="42"/>
      <c r="C68" s="45"/>
      <c r="D68" s="45"/>
      <c r="E68" s="46"/>
    </row>
    <row r="69" spans="1:5">
      <c r="A69" s="85" t="str">
        <f>Roster!A69</f>
        <v/>
      </c>
      <c r="B69" s="42"/>
      <c r="C69" s="45"/>
      <c r="D69" s="45"/>
      <c r="E69" s="46"/>
    </row>
    <row r="70" spans="1:5">
      <c r="A70" s="85" t="str">
        <f>Roster!A70</f>
        <v/>
      </c>
      <c r="B70" s="42"/>
      <c r="C70" s="45"/>
      <c r="D70" s="45"/>
      <c r="E70" s="46"/>
    </row>
    <row r="71" spans="1:5">
      <c r="A71" s="85" t="str">
        <f>Roster!A71</f>
        <v/>
      </c>
      <c r="B71" s="42"/>
      <c r="C71" s="45"/>
      <c r="D71" s="45"/>
      <c r="E71" s="46"/>
    </row>
    <row r="72" spans="1:5">
      <c r="A72" s="85" t="str">
        <f>Roster!A72</f>
        <v/>
      </c>
      <c r="B72" s="42"/>
      <c r="C72" s="45"/>
      <c r="D72" s="45"/>
      <c r="E72" s="46"/>
    </row>
    <row r="73" spans="1:5">
      <c r="A73" s="85" t="str">
        <f>Roster!A73</f>
        <v/>
      </c>
      <c r="B73" s="42"/>
      <c r="C73" s="45"/>
      <c r="D73" s="45"/>
      <c r="E73" s="46"/>
    </row>
    <row r="74" spans="1:5">
      <c r="A74" s="85" t="str">
        <f>Roster!A74</f>
        <v/>
      </c>
      <c r="B74" s="42"/>
      <c r="C74" s="45"/>
      <c r="D74" s="45"/>
      <c r="E74" s="46"/>
    </row>
    <row r="75" spans="1:5">
      <c r="A75" s="85" t="str">
        <f>Roster!A75</f>
        <v/>
      </c>
      <c r="B75" s="42"/>
      <c r="C75" s="45"/>
      <c r="D75" s="45"/>
      <c r="E75" s="46"/>
    </row>
    <row r="76" spans="1:5">
      <c r="A76" s="85" t="str">
        <f>Roster!A76</f>
        <v/>
      </c>
      <c r="B76" s="42"/>
      <c r="C76" s="45"/>
      <c r="D76" s="45"/>
      <c r="E76" s="46"/>
    </row>
    <row r="77" spans="1:5">
      <c r="A77" s="85" t="str">
        <f>Roster!A77</f>
        <v/>
      </c>
      <c r="B77" s="42"/>
      <c r="C77" s="45"/>
      <c r="D77" s="45"/>
      <c r="E77" s="46"/>
    </row>
    <row r="78" spans="1:5">
      <c r="A78" s="85" t="str">
        <f>Roster!A78</f>
        <v/>
      </c>
      <c r="B78" s="42"/>
      <c r="C78" s="45"/>
      <c r="D78" s="45"/>
      <c r="E78" s="46"/>
    </row>
    <row r="79" spans="1:5">
      <c r="A79" s="85" t="str">
        <f>Roster!A79</f>
        <v/>
      </c>
      <c r="B79" s="42"/>
      <c r="C79" s="45"/>
      <c r="D79" s="45"/>
      <c r="E79" s="46"/>
    </row>
    <row r="80" spans="1:5">
      <c r="A80" s="85" t="str">
        <f>Roster!A80</f>
        <v/>
      </c>
      <c r="B80" s="42"/>
      <c r="C80" s="45"/>
      <c r="D80" s="45"/>
      <c r="E80" s="46"/>
    </row>
    <row r="81" spans="1:5">
      <c r="A81" s="85" t="str">
        <f>Roster!A81</f>
        <v/>
      </c>
      <c r="B81" s="42"/>
      <c r="C81" s="45"/>
      <c r="D81" s="45"/>
      <c r="E81" s="46"/>
    </row>
    <row r="82" spans="1:5">
      <c r="A82" s="85" t="str">
        <f>Roster!A82</f>
        <v/>
      </c>
      <c r="B82" s="42"/>
      <c r="C82" s="45"/>
      <c r="D82" s="45"/>
      <c r="E82" s="46"/>
    </row>
    <row r="83" spans="1:5">
      <c r="A83" s="85" t="str">
        <f>Roster!A83</f>
        <v/>
      </c>
      <c r="B83" s="42"/>
      <c r="C83" s="45"/>
      <c r="D83" s="45"/>
      <c r="E83" s="46"/>
    </row>
    <row r="84" spans="1:5">
      <c r="A84" s="85" t="str">
        <f>Roster!A84</f>
        <v/>
      </c>
      <c r="B84" s="42"/>
      <c r="C84" s="45"/>
      <c r="D84" s="45"/>
      <c r="E84" s="46"/>
    </row>
    <row r="85" spans="1:5">
      <c r="A85" s="85" t="str">
        <f>Roster!A85</f>
        <v/>
      </c>
      <c r="B85" s="42"/>
      <c r="C85" s="45"/>
      <c r="D85" s="45"/>
      <c r="E85" s="46"/>
    </row>
    <row r="86" spans="1:5">
      <c r="A86" s="85" t="str">
        <f>Roster!A86</f>
        <v/>
      </c>
      <c r="B86" s="42"/>
      <c r="C86" s="45"/>
      <c r="D86" s="45"/>
      <c r="E86" s="46"/>
    </row>
    <row r="87" spans="1:5">
      <c r="A87" s="85" t="str">
        <f>Roster!A87</f>
        <v/>
      </c>
      <c r="B87" s="42"/>
      <c r="C87" s="45"/>
      <c r="D87" s="45"/>
      <c r="E87" s="46"/>
    </row>
    <row r="88" spans="1:5">
      <c r="A88" s="85" t="str">
        <f>Roster!A88</f>
        <v/>
      </c>
      <c r="B88" s="42"/>
      <c r="C88" s="45"/>
      <c r="D88" s="45"/>
      <c r="E88" s="46"/>
    </row>
    <row r="89" spans="1:5">
      <c r="A89" s="85" t="str">
        <f>Roster!A89</f>
        <v/>
      </c>
      <c r="B89" s="42"/>
      <c r="C89" s="45"/>
      <c r="D89" s="45"/>
      <c r="E89" s="46"/>
    </row>
    <row r="90" spans="1:5">
      <c r="A90" s="85" t="str">
        <f>Roster!A90</f>
        <v/>
      </c>
      <c r="B90" s="42"/>
      <c r="C90" s="45"/>
      <c r="D90" s="45"/>
      <c r="E90" s="46"/>
    </row>
    <row r="91" spans="1:5">
      <c r="A91" s="85" t="str">
        <f>Roster!A91</f>
        <v/>
      </c>
      <c r="B91" s="42"/>
      <c r="C91" s="45"/>
      <c r="D91" s="45"/>
      <c r="E91" s="46"/>
    </row>
    <row r="92" spans="1:5">
      <c r="A92" s="85" t="str">
        <f>Roster!A92</f>
        <v/>
      </c>
      <c r="B92" s="42"/>
      <c r="C92" s="45"/>
      <c r="D92" s="45"/>
      <c r="E92" s="46"/>
    </row>
    <row r="93" spans="1:5">
      <c r="A93" s="85" t="str">
        <f>Roster!A93</f>
        <v/>
      </c>
      <c r="B93" s="42"/>
      <c r="C93" s="45"/>
      <c r="D93" s="45"/>
      <c r="E93" s="46"/>
    </row>
    <row r="94" spans="1:5">
      <c r="A94" s="85" t="str">
        <f>Roster!A94</f>
        <v/>
      </c>
      <c r="B94" s="42"/>
      <c r="C94" s="45"/>
      <c r="D94" s="45"/>
      <c r="E94" s="46"/>
    </row>
    <row r="95" spans="1:5">
      <c r="A95" s="85" t="str">
        <f>Roster!A95</f>
        <v/>
      </c>
      <c r="B95" s="42"/>
      <c r="C95" s="45"/>
      <c r="D95" s="45"/>
      <c r="E95" s="46"/>
    </row>
    <row r="96" spans="1:5">
      <c r="A96" s="85" t="str">
        <f>Roster!A96</f>
        <v/>
      </c>
      <c r="B96" s="42"/>
      <c r="C96" s="45"/>
      <c r="D96" s="45"/>
      <c r="E96" s="46"/>
    </row>
    <row r="97" spans="1:5">
      <c r="A97" s="85" t="str">
        <f>Roster!A97</f>
        <v/>
      </c>
      <c r="B97" s="42"/>
      <c r="C97" s="45"/>
      <c r="D97" s="45"/>
      <c r="E97" s="46"/>
    </row>
    <row r="98" spans="1:5">
      <c r="A98" s="85" t="str">
        <f>Roster!A98</f>
        <v/>
      </c>
      <c r="B98" s="42"/>
      <c r="C98" s="45"/>
      <c r="D98" s="45"/>
      <c r="E98" s="46"/>
    </row>
    <row r="99" spans="1:5">
      <c r="A99" s="85" t="str">
        <f>Roster!A99</f>
        <v/>
      </c>
      <c r="B99" s="42"/>
      <c r="C99" s="45"/>
      <c r="D99" s="45"/>
      <c r="E99" s="46"/>
    </row>
    <row r="100" spans="1:5">
      <c r="A100" s="85" t="str">
        <f>Roster!A100</f>
        <v/>
      </c>
      <c r="B100" s="42"/>
      <c r="C100" s="45"/>
      <c r="D100" s="45"/>
      <c r="E100" s="46"/>
    </row>
    <row r="101" spans="1:5">
      <c r="A101" s="85" t="str">
        <f>Roster!A101</f>
        <v/>
      </c>
      <c r="B101" s="42"/>
      <c r="C101" s="45"/>
      <c r="D101" s="45"/>
      <c r="E101" s="46"/>
    </row>
    <row r="102" spans="1:5">
      <c r="A102" s="85" t="str">
        <f>Roster!A102</f>
        <v/>
      </c>
      <c r="B102" s="43"/>
      <c r="C102" s="47"/>
      <c r="D102" s="47"/>
      <c r="E102" s="41"/>
    </row>
    <row r="103" spans="1:5">
      <c r="A103" s="85" t="str">
        <f>Roster!A103</f>
        <v/>
      </c>
      <c r="B103" s="42"/>
      <c r="C103" s="45"/>
      <c r="D103" s="45"/>
      <c r="E103" s="46"/>
    </row>
    <row r="104" spans="1:5">
      <c r="A104" s="85" t="str">
        <f>Roster!A104</f>
        <v/>
      </c>
      <c r="B104" s="42"/>
      <c r="C104" s="45"/>
      <c r="D104" s="45"/>
      <c r="E104" s="46"/>
    </row>
    <row r="105" spans="1:5">
      <c r="A105" s="85" t="str">
        <f>Roster!A105</f>
        <v/>
      </c>
      <c r="B105" s="42"/>
      <c r="C105" s="45"/>
      <c r="D105" s="45"/>
      <c r="E105" s="46"/>
    </row>
    <row r="106" spans="1:5">
      <c r="A106" s="85" t="str">
        <f>Roster!A106</f>
        <v/>
      </c>
      <c r="B106" s="42"/>
      <c r="C106" s="45"/>
      <c r="D106" s="45"/>
      <c r="E106" s="46"/>
    </row>
    <row r="107" spans="1:5">
      <c r="A107" s="85" t="str">
        <f>Roster!A107</f>
        <v/>
      </c>
      <c r="B107" s="42"/>
      <c r="C107" s="45"/>
      <c r="D107" s="45"/>
      <c r="E107" s="46"/>
    </row>
    <row r="108" spans="1:5">
      <c r="A108" s="85" t="str">
        <f>Roster!A108</f>
        <v/>
      </c>
      <c r="B108" s="42"/>
      <c r="C108" s="45"/>
      <c r="D108" s="45"/>
      <c r="E108" s="46"/>
    </row>
    <row r="109" spans="1:5">
      <c r="A109" s="85" t="str">
        <f>Roster!A109</f>
        <v/>
      </c>
      <c r="B109" s="42"/>
      <c r="C109" s="45"/>
      <c r="D109" s="45"/>
      <c r="E109" s="46"/>
    </row>
    <row r="110" spans="1:5">
      <c r="A110" s="85" t="str">
        <f>Roster!A110</f>
        <v/>
      </c>
      <c r="B110" s="42"/>
      <c r="C110" s="45"/>
      <c r="D110" s="45"/>
      <c r="E110" s="46"/>
    </row>
    <row r="111" spans="1:5">
      <c r="A111" s="85" t="str">
        <f>Roster!A111</f>
        <v/>
      </c>
      <c r="B111" s="42"/>
      <c r="C111" s="45"/>
      <c r="D111" s="45"/>
      <c r="E111" s="46"/>
    </row>
    <row r="112" spans="1:5">
      <c r="A112" s="85" t="str">
        <f>Roster!A112</f>
        <v/>
      </c>
      <c r="B112" s="42"/>
      <c r="C112" s="45"/>
      <c r="D112" s="45"/>
      <c r="E112" s="46"/>
    </row>
    <row r="113" spans="1:5">
      <c r="A113" s="85" t="str">
        <f>Roster!A113</f>
        <v/>
      </c>
      <c r="B113" s="42"/>
      <c r="C113" s="45"/>
      <c r="D113" s="45"/>
      <c r="E113" s="46"/>
    </row>
    <row r="114" spans="1:5">
      <c r="A114" s="85" t="str">
        <f>Roster!A114</f>
        <v/>
      </c>
      <c r="B114" s="42"/>
      <c r="C114" s="45"/>
      <c r="D114" s="45"/>
      <c r="E114" s="46"/>
    </row>
    <row r="115" spans="1:5">
      <c r="A115" s="85" t="str">
        <f>Roster!A115</f>
        <v/>
      </c>
      <c r="B115" s="42"/>
      <c r="C115" s="45"/>
      <c r="D115" s="45"/>
      <c r="E115" s="46"/>
    </row>
    <row r="116" spans="1:5">
      <c r="A116" s="85" t="str">
        <f>Roster!A116</f>
        <v/>
      </c>
      <c r="B116" s="42"/>
      <c r="C116" s="45"/>
      <c r="D116" s="45"/>
      <c r="E116" s="46"/>
    </row>
    <row r="117" spans="1:5">
      <c r="A117" s="85" t="str">
        <f>Roster!A117</f>
        <v/>
      </c>
      <c r="B117" s="42"/>
      <c r="C117" s="45"/>
      <c r="D117" s="45"/>
      <c r="E117" s="46"/>
    </row>
    <row r="118" spans="1:5">
      <c r="A118" s="85" t="str">
        <f>Roster!A118</f>
        <v/>
      </c>
      <c r="B118" s="42"/>
      <c r="C118" s="45"/>
      <c r="D118" s="45"/>
      <c r="E118" s="46"/>
    </row>
    <row r="119" spans="1:5">
      <c r="A119" s="85" t="str">
        <f>Roster!A119</f>
        <v/>
      </c>
      <c r="B119" s="42"/>
      <c r="C119" s="45"/>
      <c r="D119" s="45"/>
      <c r="E119" s="46"/>
    </row>
    <row r="120" spans="1:5">
      <c r="A120" s="85" t="str">
        <f>Roster!A120</f>
        <v/>
      </c>
      <c r="B120" s="42"/>
      <c r="C120" s="45"/>
      <c r="D120" s="45"/>
      <c r="E120" s="46"/>
    </row>
    <row r="121" spans="1:5">
      <c r="A121" s="85" t="str">
        <f>Roster!A121</f>
        <v/>
      </c>
      <c r="B121" s="42"/>
      <c r="C121" s="45"/>
      <c r="D121" s="45"/>
      <c r="E121" s="46"/>
    </row>
    <row r="122" spans="1:5">
      <c r="A122" s="85" t="str">
        <f>Roster!A122</f>
        <v/>
      </c>
      <c r="B122" s="42"/>
      <c r="C122" s="45"/>
      <c r="D122" s="45"/>
      <c r="E122" s="46"/>
    </row>
    <row r="123" spans="1:5">
      <c r="A123" s="85" t="str">
        <f>Roster!A123</f>
        <v/>
      </c>
      <c r="B123" s="42"/>
      <c r="C123" s="45"/>
      <c r="D123" s="45"/>
      <c r="E123" s="46"/>
    </row>
    <row r="124" spans="1:5">
      <c r="A124" s="85" t="str">
        <f>Roster!A124</f>
        <v/>
      </c>
      <c r="B124" s="42"/>
      <c r="C124" s="45"/>
      <c r="D124" s="45"/>
      <c r="E124" s="46"/>
    </row>
    <row r="125" spans="1:5">
      <c r="A125" s="85" t="str">
        <f>Roster!A125</f>
        <v/>
      </c>
      <c r="B125" s="42"/>
      <c r="C125" s="45"/>
      <c r="D125" s="45"/>
      <c r="E125" s="46"/>
    </row>
    <row r="126" spans="1:5">
      <c r="A126" s="85" t="str">
        <f>Roster!A126</f>
        <v/>
      </c>
      <c r="B126" s="42"/>
      <c r="C126" s="45"/>
      <c r="D126" s="45"/>
      <c r="E126" s="46"/>
    </row>
    <row r="127" spans="1:5">
      <c r="A127" s="85" t="str">
        <f>Roster!A127</f>
        <v/>
      </c>
      <c r="B127" s="42"/>
      <c r="C127" s="45"/>
      <c r="D127" s="45"/>
      <c r="E127" s="46"/>
    </row>
    <row r="128" spans="1:5">
      <c r="A128" s="85" t="str">
        <f>Roster!A128</f>
        <v/>
      </c>
      <c r="B128" s="42"/>
      <c r="C128" s="45"/>
      <c r="D128" s="45"/>
      <c r="E128" s="46"/>
    </row>
    <row r="129" spans="1:5">
      <c r="A129" s="85" t="str">
        <f>Roster!A129</f>
        <v/>
      </c>
      <c r="B129" s="42"/>
      <c r="C129" s="45"/>
      <c r="D129" s="45"/>
      <c r="E129" s="46"/>
    </row>
    <row r="130" spans="1:5">
      <c r="A130" s="85" t="str">
        <f>Roster!A130</f>
        <v/>
      </c>
      <c r="B130" s="42"/>
      <c r="C130" s="45"/>
      <c r="D130" s="45"/>
      <c r="E130" s="46"/>
    </row>
    <row r="131" spans="1:5">
      <c r="A131" s="85" t="str">
        <f>Roster!A131</f>
        <v/>
      </c>
      <c r="B131" s="42"/>
      <c r="C131" s="45"/>
      <c r="D131" s="45"/>
      <c r="E131" s="46"/>
    </row>
    <row r="132" spans="1:5">
      <c r="A132" s="85" t="str">
        <f>Roster!A132</f>
        <v/>
      </c>
      <c r="B132" s="42"/>
      <c r="C132" s="45"/>
      <c r="D132" s="45"/>
      <c r="E132" s="46"/>
    </row>
    <row r="133" spans="1:5">
      <c r="A133" s="85" t="str">
        <f>Roster!A133</f>
        <v/>
      </c>
      <c r="B133" s="42"/>
      <c r="C133" s="45"/>
      <c r="D133" s="45"/>
      <c r="E133" s="46"/>
    </row>
    <row r="134" spans="1:5">
      <c r="A134" s="85" t="str">
        <f>Roster!A134</f>
        <v/>
      </c>
      <c r="B134" s="42"/>
      <c r="C134" s="45"/>
      <c r="D134" s="45"/>
      <c r="E134" s="46"/>
    </row>
    <row r="135" spans="1:5">
      <c r="A135" s="85" t="str">
        <f>Roster!A135</f>
        <v/>
      </c>
      <c r="B135" s="42"/>
      <c r="C135" s="45"/>
      <c r="D135" s="45"/>
      <c r="E135" s="46"/>
    </row>
    <row r="136" spans="1:5">
      <c r="A136" s="85" t="str">
        <f>Roster!A136</f>
        <v/>
      </c>
      <c r="B136" s="42"/>
      <c r="C136" s="45"/>
      <c r="D136" s="45"/>
      <c r="E136" s="46"/>
    </row>
    <row r="137" spans="1:5">
      <c r="A137" s="85" t="str">
        <f>Roster!A137</f>
        <v/>
      </c>
      <c r="B137" s="42"/>
      <c r="C137" s="45"/>
      <c r="D137" s="45"/>
      <c r="E137" s="46"/>
    </row>
    <row r="138" spans="1:5">
      <c r="A138" s="85" t="str">
        <f>Roster!A138</f>
        <v/>
      </c>
      <c r="B138" s="42"/>
      <c r="C138" s="45"/>
      <c r="D138" s="45"/>
      <c r="E138" s="46"/>
    </row>
    <row r="139" spans="1:5">
      <c r="A139" s="85" t="str">
        <f>Roster!A139</f>
        <v/>
      </c>
      <c r="B139" s="42"/>
      <c r="C139" s="45"/>
      <c r="D139" s="45"/>
      <c r="E139" s="46"/>
    </row>
    <row r="140" spans="1:5">
      <c r="A140" s="85" t="str">
        <f>Roster!A140</f>
        <v/>
      </c>
      <c r="B140" s="42"/>
      <c r="C140" s="45"/>
      <c r="D140" s="45"/>
      <c r="E140" s="46"/>
    </row>
    <row r="141" spans="1:5">
      <c r="A141" s="85" t="str">
        <f>Roster!A141</f>
        <v/>
      </c>
      <c r="B141" s="42"/>
      <c r="C141" s="45"/>
      <c r="D141" s="45"/>
      <c r="E141" s="46"/>
    </row>
    <row r="142" spans="1:5">
      <c r="A142" s="85" t="str">
        <f>Roster!A142</f>
        <v/>
      </c>
      <c r="B142" s="42"/>
      <c r="C142" s="45"/>
      <c r="D142" s="45"/>
      <c r="E142" s="46"/>
    </row>
    <row r="143" spans="1:5">
      <c r="A143" s="85" t="str">
        <f>Roster!A143</f>
        <v/>
      </c>
      <c r="B143" s="42"/>
      <c r="C143" s="45"/>
      <c r="D143" s="45"/>
      <c r="E143" s="46"/>
    </row>
    <row r="144" spans="1:5">
      <c r="A144" s="85" t="str">
        <f>Roster!A144</f>
        <v/>
      </c>
      <c r="B144" s="42"/>
      <c r="C144" s="45"/>
      <c r="D144" s="45"/>
      <c r="E144" s="46"/>
    </row>
    <row r="145" spans="1:5">
      <c r="A145" s="85" t="str">
        <f>Roster!A145</f>
        <v/>
      </c>
      <c r="B145" s="42"/>
      <c r="C145" s="45"/>
      <c r="D145" s="45"/>
      <c r="E145" s="46"/>
    </row>
    <row r="146" spans="1:5">
      <c r="A146" s="85" t="str">
        <f>Roster!A146</f>
        <v/>
      </c>
      <c r="B146" s="42"/>
      <c r="C146" s="45"/>
      <c r="D146" s="45"/>
      <c r="E146" s="46"/>
    </row>
    <row r="147" spans="1:5">
      <c r="A147" s="85" t="str">
        <f>Roster!A147</f>
        <v/>
      </c>
      <c r="B147" s="42"/>
      <c r="C147" s="45"/>
      <c r="D147" s="45"/>
      <c r="E147" s="46"/>
    </row>
    <row r="148" spans="1:5">
      <c r="A148" s="85" t="str">
        <f>Roster!A148</f>
        <v/>
      </c>
      <c r="B148" s="42"/>
      <c r="C148" s="45"/>
      <c r="D148" s="45"/>
      <c r="E148" s="46"/>
    </row>
    <row r="149" spans="1:5">
      <c r="A149" s="85" t="str">
        <f>Roster!A149</f>
        <v/>
      </c>
      <c r="B149" s="42"/>
      <c r="C149" s="45"/>
      <c r="D149" s="45"/>
      <c r="E149" s="46"/>
    </row>
    <row r="150" spans="1:5">
      <c r="A150" s="85" t="str">
        <f>Roster!A150</f>
        <v/>
      </c>
      <c r="B150" s="42"/>
      <c r="C150" s="45"/>
      <c r="D150" s="45"/>
      <c r="E150" s="46"/>
    </row>
    <row r="151" spans="1:5">
      <c r="A151" s="85" t="str">
        <f>Roster!A151</f>
        <v/>
      </c>
      <c r="B151" s="42"/>
      <c r="C151" s="45"/>
      <c r="D151" s="45"/>
      <c r="E151" s="46"/>
    </row>
    <row r="152" spans="1:5">
      <c r="A152" s="85" t="str">
        <f>Roster!A152</f>
        <v/>
      </c>
      <c r="B152" s="43"/>
      <c r="C152" s="47"/>
      <c r="D152" s="47"/>
      <c r="E152" s="41"/>
    </row>
    <row r="153" spans="1:5">
      <c r="A153" s="85" t="str">
        <f>Roster!A153</f>
        <v/>
      </c>
      <c r="B153" s="42"/>
      <c r="C153" s="45"/>
      <c r="D153" s="45"/>
      <c r="E153" s="46"/>
    </row>
    <row r="154" spans="1:5">
      <c r="A154" s="85" t="str">
        <f>Roster!A154</f>
        <v/>
      </c>
      <c r="B154" s="42"/>
      <c r="C154" s="45"/>
      <c r="D154" s="45"/>
      <c r="E154" s="46"/>
    </row>
    <row r="155" spans="1:5">
      <c r="A155" s="85" t="str">
        <f>Roster!A155</f>
        <v/>
      </c>
      <c r="B155" s="42"/>
      <c r="C155" s="45"/>
      <c r="D155" s="45"/>
      <c r="E155" s="46"/>
    </row>
    <row r="156" spans="1:5">
      <c r="A156" s="85" t="str">
        <f>Roster!A156</f>
        <v/>
      </c>
      <c r="B156" s="42"/>
      <c r="C156" s="45"/>
      <c r="D156" s="45"/>
      <c r="E156" s="46"/>
    </row>
    <row r="157" spans="1:5">
      <c r="A157" s="85" t="str">
        <f>Roster!A157</f>
        <v/>
      </c>
      <c r="B157" s="42"/>
      <c r="C157" s="45"/>
      <c r="D157" s="45"/>
      <c r="E157" s="46"/>
    </row>
    <row r="158" spans="1:5">
      <c r="A158" s="85" t="str">
        <f>Roster!A158</f>
        <v/>
      </c>
      <c r="B158" s="42"/>
      <c r="C158" s="45"/>
      <c r="D158" s="45"/>
      <c r="E158" s="46"/>
    </row>
    <row r="159" spans="1:5">
      <c r="A159" s="85" t="str">
        <f>Roster!A159</f>
        <v/>
      </c>
      <c r="B159" s="42"/>
      <c r="C159" s="45"/>
      <c r="D159" s="45"/>
      <c r="E159" s="46"/>
    </row>
    <row r="160" spans="1:5">
      <c r="A160" s="85" t="str">
        <f>Roster!A160</f>
        <v/>
      </c>
      <c r="B160" s="42"/>
      <c r="C160" s="45"/>
      <c r="D160" s="45"/>
      <c r="E160" s="46"/>
    </row>
    <row r="161" spans="1:5">
      <c r="A161" s="85" t="str">
        <f>Roster!A161</f>
        <v/>
      </c>
      <c r="B161" s="42"/>
      <c r="C161" s="45"/>
      <c r="D161" s="45"/>
      <c r="E161" s="46"/>
    </row>
    <row r="162" spans="1:5">
      <c r="A162" s="85" t="str">
        <f>Roster!A162</f>
        <v/>
      </c>
      <c r="B162" s="42"/>
      <c r="C162" s="45"/>
      <c r="D162" s="45"/>
      <c r="E162" s="46"/>
    </row>
    <row r="163" spans="1:5">
      <c r="A163" s="85" t="str">
        <f>Roster!A163</f>
        <v/>
      </c>
      <c r="B163" s="42"/>
      <c r="C163" s="45"/>
      <c r="D163" s="45"/>
      <c r="E163" s="46"/>
    </row>
    <row r="164" spans="1:5">
      <c r="A164" s="85" t="str">
        <f>Roster!A164</f>
        <v/>
      </c>
      <c r="B164" s="42"/>
      <c r="C164" s="45"/>
      <c r="D164" s="45"/>
      <c r="E164" s="46"/>
    </row>
    <row r="165" spans="1:5">
      <c r="A165" s="85" t="str">
        <f>Roster!A165</f>
        <v/>
      </c>
      <c r="B165" s="42"/>
      <c r="C165" s="45"/>
      <c r="D165" s="45"/>
      <c r="E165" s="46"/>
    </row>
    <row r="166" spans="1:5">
      <c r="A166" s="85" t="str">
        <f>Roster!A166</f>
        <v/>
      </c>
      <c r="B166" s="42"/>
      <c r="C166" s="45"/>
      <c r="D166" s="45"/>
      <c r="E166" s="46"/>
    </row>
    <row r="167" spans="1:5">
      <c r="A167" s="85" t="str">
        <f>Roster!A167</f>
        <v/>
      </c>
      <c r="B167" s="42"/>
      <c r="C167" s="45"/>
      <c r="D167" s="45"/>
      <c r="E167" s="46"/>
    </row>
    <row r="168" spans="1:5">
      <c r="A168" s="85" t="str">
        <f>Roster!A168</f>
        <v/>
      </c>
      <c r="B168" s="42"/>
      <c r="C168" s="45"/>
      <c r="D168" s="45"/>
      <c r="E168" s="46"/>
    </row>
    <row r="169" spans="1:5">
      <c r="A169" s="85" t="str">
        <f>Roster!A169</f>
        <v/>
      </c>
      <c r="B169" s="42"/>
      <c r="C169" s="45"/>
      <c r="D169" s="45"/>
      <c r="E169" s="46"/>
    </row>
    <row r="170" spans="1:5">
      <c r="A170" s="85" t="str">
        <f>Roster!A170</f>
        <v/>
      </c>
      <c r="B170" s="42"/>
      <c r="C170" s="45"/>
      <c r="D170" s="45"/>
      <c r="E170" s="46"/>
    </row>
    <row r="171" spans="1:5">
      <c r="A171" s="85" t="str">
        <f>Roster!A171</f>
        <v/>
      </c>
      <c r="B171" s="42"/>
      <c r="C171" s="45"/>
      <c r="D171" s="45"/>
      <c r="E171" s="46"/>
    </row>
    <row r="172" spans="1:5">
      <c r="A172" s="85" t="str">
        <f>Roster!A172</f>
        <v/>
      </c>
      <c r="B172" s="42"/>
      <c r="C172" s="45"/>
      <c r="D172" s="45"/>
      <c r="E172" s="46"/>
    </row>
    <row r="173" spans="1:5">
      <c r="A173" s="85" t="str">
        <f>Roster!A173</f>
        <v/>
      </c>
      <c r="B173" s="42"/>
      <c r="C173" s="45"/>
      <c r="D173" s="45"/>
      <c r="E173" s="46"/>
    </row>
    <row r="174" spans="1:5">
      <c r="A174" s="85" t="str">
        <f>Roster!A174</f>
        <v/>
      </c>
      <c r="B174" s="42"/>
      <c r="C174" s="45"/>
      <c r="D174" s="45"/>
      <c r="E174" s="46"/>
    </row>
    <row r="175" spans="1:5">
      <c r="A175" s="85" t="str">
        <f>Roster!A175</f>
        <v/>
      </c>
      <c r="B175" s="42"/>
      <c r="C175" s="45"/>
      <c r="D175" s="45"/>
      <c r="E175" s="46"/>
    </row>
    <row r="176" spans="1:5">
      <c r="A176" s="85" t="str">
        <f>Roster!A176</f>
        <v/>
      </c>
      <c r="B176" s="42"/>
      <c r="C176" s="45"/>
      <c r="D176" s="45"/>
      <c r="E176" s="46"/>
    </row>
    <row r="177" spans="1:5">
      <c r="A177" s="85" t="str">
        <f>Roster!A177</f>
        <v/>
      </c>
      <c r="B177" s="42"/>
      <c r="C177" s="45"/>
      <c r="D177" s="45"/>
      <c r="E177" s="46"/>
    </row>
    <row r="178" spans="1:5">
      <c r="A178" s="85" t="str">
        <f>Roster!A178</f>
        <v/>
      </c>
      <c r="B178" s="42"/>
      <c r="C178" s="45"/>
      <c r="D178" s="45"/>
      <c r="E178" s="46"/>
    </row>
    <row r="179" spans="1:5">
      <c r="A179" s="85" t="str">
        <f>Roster!A179</f>
        <v/>
      </c>
      <c r="B179" s="42"/>
      <c r="C179" s="45"/>
      <c r="D179" s="45"/>
      <c r="E179" s="46"/>
    </row>
    <row r="180" spans="1:5">
      <c r="A180" s="85" t="str">
        <f>Roster!A180</f>
        <v/>
      </c>
      <c r="B180" s="42"/>
      <c r="C180" s="45"/>
      <c r="D180" s="45"/>
      <c r="E180" s="46"/>
    </row>
    <row r="181" spans="1:5">
      <c r="A181" s="85" t="str">
        <f>Roster!A181</f>
        <v/>
      </c>
      <c r="B181" s="42"/>
      <c r="C181" s="45"/>
      <c r="D181" s="45"/>
      <c r="E181" s="46"/>
    </row>
    <row r="182" spans="1:5">
      <c r="A182" s="85" t="str">
        <f>Roster!A182</f>
        <v/>
      </c>
      <c r="B182" s="42"/>
      <c r="C182" s="45"/>
      <c r="D182" s="45"/>
      <c r="E182" s="46"/>
    </row>
    <row r="183" spans="1:5">
      <c r="A183" s="85" t="str">
        <f>Roster!A183</f>
        <v/>
      </c>
      <c r="B183" s="42"/>
      <c r="C183" s="45"/>
      <c r="D183" s="45"/>
      <c r="E183" s="46"/>
    </row>
    <row r="184" spans="1:5">
      <c r="A184" s="85" t="str">
        <f>Roster!A184</f>
        <v/>
      </c>
      <c r="B184" s="42"/>
      <c r="C184" s="45"/>
      <c r="D184" s="45"/>
      <c r="E184" s="46"/>
    </row>
    <row r="185" spans="1:5">
      <c r="A185" s="85" t="str">
        <f>Roster!A185</f>
        <v/>
      </c>
      <c r="B185" s="42"/>
      <c r="C185" s="45"/>
      <c r="D185" s="45"/>
      <c r="E185" s="46"/>
    </row>
    <row r="186" spans="1:5">
      <c r="A186" s="85" t="str">
        <f>Roster!A186</f>
        <v/>
      </c>
      <c r="B186" s="42"/>
      <c r="C186" s="45"/>
      <c r="D186" s="45"/>
      <c r="E186" s="46"/>
    </row>
    <row r="187" spans="1:5">
      <c r="A187" s="85" t="str">
        <f>Roster!A187</f>
        <v/>
      </c>
      <c r="B187" s="42"/>
      <c r="C187" s="45"/>
      <c r="D187" s="45"/>
      <c r="E187" s="46"/>
    </row>
    <row r="188" spans="1:5">
      <c r="A188" s="85" t="str">
        <f>Roster!A188</f>
        <v/>
      </c>
      <c r="B188" s="42"/>
      <c r="C188" s="45"/>
      <c r="D188" s="45"/>
      <c r="E188" s="46"/>
    </row>
    <row r="189" spans="1:5">
      <c r="A189" s="85" t="str">
        <f>Roster!A189</f>
        <v/>
      </c>
      <c r="B189" s="42"/>
      <c r="C189" s="45"/>
      <c r="D189" s="45"/>
      <c r="E189" s="46"/>
    </row>
    <row r="190" spans="1:5">
      <c r="A190" s="85" t="str">
        <f>Roster!A190</f>
        <v/>
      </c>
      <c r="B190" s="42"/>
      <c r="C190" s="45"/>
      <c r="D190" s="45"/>
      <c r="E190" s="46"/>
    </row>
    <row r="191" spans="1:5">
      <c r="A191" s="85" t="str">
        <f>Roster!A191</f>
        <v/>
      </c>
      <c r="B191" s="42"/>
      <c r="C191" s="45"/>
      <c r="D191" s="45"/>
      <c r="E191" s="46"/>
    </row>
    <row r="192" spans="1:5">
      <c r="A192" s="85" t="str">
        <f>Roster!A192</f>
        <v/>
      </c>
      <c r="B192" s="42"/>
      <c r="C192" s="45"/>
      <c r="D192" s="45"/>
      <c r="E192" s="46"/>
    </row>
    <row r="193" spans="1:5">
      <c r="A193" s="85" t="str">
        <f>Roster!A193</f>
        <v/>
      </c>
      <c r="B193" s="42"/>
      <c r="C193" s="45"/>
      <c r="D193" s="45"/>
      <c r="E193" s="46"/>
    </row>
    <row r="194" spans="1:5">
      <c r="A194" s="85" t="str">
        <f>Roster!A194</f>
        <v/>
      </c>
      <c r="B194" s="42"/>
      <c r="C194" s="45"/>
      <c r="D194" s="45"/>
      <c r="E194" s="46"/>
    </row>
    <row r="195" spans="1:5">
      <c r="A195" s="85" t="str">
        <f>Roster!A195</f>
        <v/>
      </c>
      <c r="B195" s="42"/>
      <c r="C195" s="45"/>
      <c r="D195" s="45"/>
      <c r="E195" s="46"/>
    </row>
    <row r="196" spans="1:5">
      <c r="A196" s="85" t="str">
        <f>Roster!A196</f>
        <v/>
      </c>
      <c r="B196" s="42"/>
      <c r="C196" s="45"/>
      <c r="D196" s="45"/>
      <c r="E196" s="46"/>
    </row>
    <row r="197" spans="1:5">
      <c r="A197" s="85" t="str">
        <f>Roster!A197</f>
        <v/>
      </c>
      <c r="B197" s="42"/>
      <c r="C197" s="45"/>
      <c r="D197" s="45"/>
      <c r="E197" s="46"/>
    </row>
    <row r="198" spans="1:5">
      <c r="A198" s="85" t="str">
        <f>Roster!A198</f>
        <v/>
      </c>
      <c r="B198" s="42"/>
      <c r="C198" s="45"/>
      <c r="D198" s="45"/>
      <c r="E198" s="46"/>
    </row>
    <row r="199" spans="1:5">
      <c r="A199" s="85" t="str">
        <f>Roster!A199</f>
        <v/>
      </c>
      <c r="B199" s="42"/>
      <c r="C199" s="45"/>
      <c r="D199" s="45"/>
      <c r="E199" s="46"/>
    </row>
    <row r="200" spans="1:5">
      <c r="A200" s="85" t="str">
        <f>Roster!A200</f>
        <v/>
      </c>
      <c r="B200" s="42"/>
      <c r="C200" s="45"/>
      <c r="D200" s="45"/>
      <c r="E200" s="46"/>
    </row>
    <row r="201" spans="1:5">
      <c r="A201" s="85" t="str">
        <f>Roster!A201</f>
        <v/>
      </c>
      <c r="B201" s="42"/>
      <c r="C201" s="45"/>
      <c r="D201" s="45"/>
      <c r="E201" s="46"/>
    </row>
    <row r="202" spans="1:5">
      <c r="A202" s="85" t="str">
        <f>Roster!A202</f>
        <v/>
      </c>
      <c r="B202" s="42"/>
      <c r="C202" s="45"/>
      <c r="D202" s="45"/>
      <c r="E202" s="46"/>
    </row>
    <row r="203" spans="1:5">
      <c r="A203" s="85" t="str">
        <f>Roster!A203</f>
        <v/>
      </c>
      <c r="B203" s="42"/>
      <c r="C203" s="45"/>
      <c r="D203" s="45"/>
      <c r="E203" s="46"/>
    </row>
    <row r="204" spans="1:5">
      <c r="A204" s="85" t="str">
        <f>Roster!A204</f>
        <v/>
      </c>
      <c r="B204" s="42"/>
      <c r="C204" s="45"/>
      <c r="D204" s="45"/>
      <c r="E204" s="46"/>
    </row>
    <row r="205" spans="1:5">
      <c r="A205" s="85" t="str">
        <f>Roster!A205</f>
        <v/>
      </c>
      <c r="B205" s="42"/>
      <c r="C205" s="45"/>
      <c r="D205" s="45"/>
      <c r="E205" s="46"/>
    </row>
    <row r="206" spans="1:5">
      <c r="A206" s="85" t="str">
        <f>Roster!A206</f>
        <v/>
      </c>
      <c r="B206" s="42"/>
      <c r="C206" s="45"/>
      <c r="D206" s="45"/>
      <c r="E206" s="46"/>
    </row>
    <row r="207" spans="1:5">
      <c r="A207" s="85" t="str">
        <f>Roster!A207</f>
        <v/>
      </c>
      <c r="B207" s="42"/>
      <c r="C207" s="45"/>
      <c r="D207" s="45"/>
      <c r="E207" s="46"/>
    </row>
    <row r="208" spans="1:5">
      <c r="A208" s="85" t="str">
        <f>Roster!A208</f>
        <v/>
      </c>
      <c r="B208" s="42"/>
      <c r="C208" s="45"/>
      <c r="D208" s="45"/>
      <c r="E208" s="46"/>
    </row>
    <row r="209" spans="1:5">
      <c r="A209" s="85" t="str">
        <f>Roster!A209</f>
        <v/>
      </c>
      <c r="B209" s="42"/>
      <c r="C209" s="45"/>
      <c r="D209" s="45"/>
      <c r="E209" s="46"/>
    </row>
    <row r="210" spans="1:5">
      <c r="A210" s="85" t="str">
        <f>Roster!A210</f>
        <v/>
      </c>
      <c r="B210" s="42"/>
      <c r="C210" s="45"/>
      <c r="D210" s="45"/>
      <c r="E210" s="46"/>
    </row>
    <row r="211" spans="1:5">
      <c r="A211" s="85" t="str">
        <f>Roster!A211</f>
        <v/>
      </c>
      <c r="B211" s="42"/>
      <c r="C211" s="45"/>
      <c r="D211" s="45"/>
      <c r="E211" s="46"/>
    </row>
    <row r="212" spans="1:5">
      <c r="A212" s="85" t="str">
        <f>Roster!A212</f>
        <v/>
      </c>
      <c r="B212" s="42"/>
      <c r="C212" s="45"/>
      <c r="D212" s="45"/>
      <c r="E212" s="46"/>
    </row>
    <row r="213" spans="1:5">
      <c r="A213" s="85" t="str">
        <f>Roster!A213</f>
        <v/>
      </c>
      <c r="B213" s="42"/>
      <c r="C213" s="45"/>
      <c r="D213" s="45"/>
      <c r="E213" s="46"/>
    </row>
    <row r="214" spans="1:5">
      <c r="A214" s="85" t="str">
        <f>Roster!A214</f>
        <v/>
      </c>
      <c r="B214" s="42"/>
      <c r="C214" s="45"/>
      <c r="D214" s="45"/>
      <c r="E214" s="46"/>
    </row>
    <row r="215" spans="1:5">
      <c r="A215" s="85" t="str">
        <f>Roster!A215</f>
        <v/>
      </c>
      <c r="B215" s="42"/>
      <c r="C215" s="45"/>
      <c r="D215" s="45"/>
      <c r="E215" s="46"/>
    </row>
    <row r="216" spans="1:5">
      <c r="A216" s="85" t="str">
        <f>Roster!A216</f>
        <v/>
      </c>
      <c r="B216" s="42"/>
      <c r="C216" s="45"/>
      <c r="D216" s="45"/>
      <c r="E216" s="46"/>
    </row>
    <row r="217" spans="1:5">
      <c r="A217" s="85" t="str">
        <f>Roster!A217</f>
        <v/>
      </c>
      <c r="B217" s="42"/>
      <c r="C217" s="45"/>
      <c r="D217" s="45"/>
      <c r="E217" s="46"/>
    </row>
    <row r="218" spans="1:5">
      <c r="A218" s="85" t="str">
        <f>Roster!A218</f>
        <v/>
      </c>
      <c r="B218" s="42"/>
      <c r="C218" s="45"/>
      <c r="D218" s="45"/>
      <c r="E218" s="46"/>
    </row>
    <row r="219" spans="1:5">
      <c r="A219" s="85" t="str">
        <f>Roster!A219</f>
        <v/>
      </c>
      <c r="B219" s="42"/>
      <c r="C219" s="45"/>
      <c r="D219" s="45"/>
      <c r="E219" s="46"/>
    </row>
    <row r="220" spans="1:5">
      <c r="A220" s="85" t="str">
        <f>Roster!A220</f>
        <v/>
      </c>
      <c r="B220" s="42"/>
      <c r="C220" s="45"/>
      <c r="D220" s="45"/>
      <c r="E220" s="46"/>
    </row>
    <row r="221" spans="1:5">
      <c r="A221" s="85" t="str">
        <f>Roster!A221</f>
        <v/>
      </c>
      <c r="B221" s="42"/>
      <c r="C221" s="45"/>
      <c r="D221" s="45"/>
      <c r="E221" s="46"/>
    </row>
    <row r="222" spans="1:5">
      <c r="A222" s="85" t="str">
        <f>Roster!A222</f>
        <v/>
      </c>
      <c r="B222" s="42"/>
      <c r="C222" s="45"/>
      <c r="D222" s="45"/>
      <c r="E222" s="46"/>
    </row>
    <row r="223" spans="1:5">
      <c r="A223" s="85" t="str">
        <f>Roster!A223</f>
        <v/>
      </c>
      <c r="B223" s="42"/>
      <c r="C223" s="45"/>
      <c r="D223" s="45"/>
      <c r="E223" s="46"/>
    </row>
    <row r="224" spans="1:5">
      <c r="A224" s="85" t="str">
        <f>Roster!A224</f>
        <v/>
      </c>
      <c r="B224" s="42"/>
      <c r="C224" s="45"/>
      <c r="D224" s="45"/>
      <c r="E224" s="46"/>
    </row>
    <row r="225" spans="1:5">
      <c r="A225" s="85" t="str">
        <f>Roster!A225</f>
        <v/>
      </c>
      <c r="B225" s="42"/>
      <c r="C225" s="45"/>
      <c r="D225" s="45"/>
      <c r="E225" s="46"/>
    </row>
    <row r="226" spans="1:5">
      <c r="A226" s="85" t="str">
        <f>Roster!A226</f>
        <v/>
      </c>
      <c r="B226" s="42"/>
      <c r="C226" s="45"/>
      <c r="D226" s="45"/>
      <c r="E226" s="46"/>
    </row>
    <row r="227" spans="1:5">
      <c r="A227" s="85" t="str">
        <f>Roster!A227</f>
        <v/>
      </c>
      <c r="B227" s="42"/>
      <c r="C227" s="45"/>
      <c r="D227" s="45"/>
      <c r="E227" s="46"/>
    </row>
    <row r="228" spans="1:5">
      <c r="A228" s="85" t="str">
        <f>Roster!A228</f>
        <v/>
      </c>
      <c r="B228" s="42"/>
      <c r="C228" s="45"/>
      <c r="D228" s="45"/>
      <c r="E228" s="46"/>
    </row>
    <row r="229" spans="1:5">
      <c r="A229" s="85" t="str">
        <f>Roster!A229</f>
        <v/>
      </c>
      <c r="B229" s="42"/>
      <c r="C229" s="45"/>
      <c r="D229" s="45"/>
      <c r="E229" s="46"/>
    </row>
    <row r="230" spans="1:5">
      <c r="A230" s="85" t="str">
        <f>Roster!A230</f>
        <v/>
      </c>
      <c r="B230" s="42"/>
      <c r="C230" s="45"/>
      <c r="D230" s="45"/>
      <c r="E230" s="46"/>
    </row>
    <row r="231" spans="1:5">
      <c r="A231" s="85" t="str">
        <f>Roster!A231</f>
        <v/>
      </c>
      <c r="B231" s="42"/>
      <c r="C231" s="45"/>
      <c r="D231" s="45"/>
      <c r="E231" s="46"/>
    </row>
    <row r="232" spans="1:5">
      <c r="A232" s="85" t="str">
        <f>Roster!A232</f>
        <v/>
      </c>
      <c r="B232" s="42"/>
      <c r="C232" s="45"/>
      <c r="D232" s="45"/>
      <c r="E232" s="46"/>
    </row>
    <row r="233" spans="1:5">
      <c r="A233" s="85" t="str">
        <f>Roster!A233</f>
        <v/>
      </c>
      <c r="B233" s="42"/>
      <c r="C233" s="45"/>
      <c r="D233" s="45"/>
      <c r="E233" s="46"/>
    </row>
    <row r="234" spans="1:5">
      <c r="A234" s="85" t="str">
        <f>Roster!A234</f>
        <v/>
      </c>
      <c r="B234" s="42"/>
      <c r="C234" s="45"/>
      <c r="D234" s="45"/>
      <c r="E234" s="46"/>
    </row>
    <row r="235" spans="1:5">
      <c r="A235" s="85" t="str">
        <f>Roster!A235</f>
        <v/>
      </c>
      <c r="B235" s="42"/>
      <c r="C235" s="45"/>
      <c r="D235" s="45"/>
      <c r="E235" s="46"/>
    </row>
    <row r="236" spans="1:5">
      <c r="A236" s="85" t="str">
        <f>Roster!A236</f>
        <v/>
      </c>
      <c r="B236" s="42"/>
      <c r="C236" s="45"/>
      <c r="D236" s="45"/>
      <c r="E236" s="46"/>
    </row>
    <row r="237" spans="1:5">
      <c r="A237" s="85" t="str">
        <f>Roster!A237</f>
        <v/>
      </c>
      <c r="B237" s="42"/>
      <c r="C237" s="45"/>
      <c r="D237" s="45"/>
      <c r="E237" s="46"/>
    </row>
    <row r="238" spans="1:5">
      <c r="A238" s="85" t="str">
        <f>Roster!A238</f>
        <v/>
      </c>
      <c r="B238" s="42"/>
      <c r="C238" s="45"/>
      <c r="D238" s="45"/>
      <c r="E238" s="46"/>
    </row>
    <row r="239" spans="1:5">
      <c r="A239" s="85" t="str">
        <f>Roster!A239</f>
        <v/>
      </c>
      <c r="B239" s="42"/>
      <c r="C239" s="45"/>
      <c r="D239" s="45"/>
      <c r="E239" s="46"/>
    </row>
    <row r="240" spans="1:5">
      <c r="A240" s="85" t="str">
        <f>Roster!A240</f>
        <v/>
      </c>
      <c r="B240" s="42"/>
      <c r="C240" s="45"/>
      <c r="D240" s="45"/>
      <c r="E240" s="46"/>
    </row>
    <row r="241" spans="1:5">
      <c r="A241" s="85" t="str">
        <f>Roster!A241</f>
        <v/>
      </c>
      <c r="B241" s="42"/>
      <c r="C241" s="45"/>
      <c r="D241" s="45"/>
      <c r="E241" s="46"/>
    </row>
    <row r="242" spans="1:5">
      <c r="A242" s="85" t="str">
        <f>Roster!A242</f>
        <v/>
      </c>
      <c r="B242" s="42"/>
      <c r="C242" s="45"/>
      <c r="D242" s="45"/>
      <c r="E242" s="46"/>
    </row>
    <row r="243" spans="1:5">
      <c r="A243" s="85" t="str">
        <f>Roster!A243</f>
        <v/>
      </c>
      <c r="B243" s="42"/>
      <c r="C243" s="45"/>
      <c r="D243" s="45"/>
      <c r="E243" s="46"/>
    </row>
    <row r="244" spans="1:5">
      <c r="A244" s="85" t="str">
        <f>Roster!A244</f>
        <v/>
      </c>
      <c r="B244" s="42"/>
      <c r="C244" s="45"/>
      <c r="D244" s="45"/>
      <c r="E244" s="46"/>
    </row>
    <row r="245" spans="1:5">
      <c r="A245" s="85" t="str">
        <f>Roster!A245</f>
        <v/>
      </c>
      <c r="B245" s="42"/>
      <c r="C245" s="45"/>
      <c r="D245" s="45"/>
      <c r="E245" s="46"/>
    </row>
    <row r="246" spans="1:5">
      <c r="A246" s="85" t="str">
        <f>Roster!A246</f>
        <v/>
      </c>
      <c r="B246" s="42"/>
      <c r="C246" s="45"/>
      <c r="D246" s="45"/>
      <c r="E246" s="46"/>
    </row>
    <row r="247" spans="1:5">
      <c r="A247" s="85" t="str">
        <f>Roster!A247</f>
        <v/>
      </c>
      <c r="B247" s="42"/>
      <c r="C247" s="45"/>
      <c r="D247" s="45"/>
      <c r="E247" s="46"/>
    </row>
    <row r="248" spans="1:5">
      <c r="A248" s="85" t="str">
        <f>Roster!A248</f>
        <v/>
      </c>
      <c r="B248" s="42"/>
      <c r="C248" s="45"/>
      <c r="D248" s="45"/>
      <c r="E248" s="46"/>
    </row>
    <row r="249" spans="1:5">
      <c r="A249" s="85" t="str">
        <f>Roster!A249</f>
        <v/>
      </c>
      <c r="B249" s="42"/>
      <c r="C249" s="45"/>
      <c r="D249" s="45"/>
      <c r="E249" s="46"/>
    </row>
    <row r="250" spans="1:5">
      <c r="A250" s="85" t="str">
        <f>Roster!A250</f>
        <v/>
      </c>
      <c r="B250" s="42"/>
      <c r="C250" s="45"/>
      <c r="D250" s="45"/>
      <c r="E250" s="46"/>
    </row>
    <row r="251" spans="1:5">
      <c r="A251" s="85" t="str">
        <f>Roster!A251</f>
        <v/>
      </c>
      <c r="B251" s="42"/>
      <c r="C251" s="45"/>
      <c r="D251" s="45"/>
      <c r="E251" s="46"/>
    </row>
    <row r="252" spans="1:5">
      <c r="A252" s="85" t="str">
        <f>Roster!A252</f>
        <v/>
      </c>
      <c r="B252" s="42"/>
      <c r="C252" s="45"/>
      <c r="D252" s="45"/>
      <c r="E252" s="46"/>
    </row>
    <row r="253" spans="1:5">
      <c r="A253" s="85" t="str">
        <f>Roster!A253</f>
        <v/>
      </c>
      <c r="B253" s="42"/>
      <c r="C253" s="45"/>
      <c r="D253" s="45"/>
      <c r="E253" s="46"/>
    </row>
    <row r="254" spans="1:5">
      <c r="A254" s="85" t="str">
        <f>Roster!A254</f>
        <v/>
      </c>
      <c r="B254" s="42"/>
      <c r="C254" s="45"/>
      <c r="D254" s="45"/>
      <c r="E254" s="46"/>
    </row>
    <row r="255" spans="1:5">
      <c r="A255" s="85" t="str">
        <f>Roster!A255</f>
        <v/>
      </c>
      <c r="B255" s="42"/>
      <c r="C255" s="45"/>
      <c r="D255" s="45"/>
      <c r="E255" s="46"/>
    </row>
    <row r="256" spans="1:5">
      <c r="A256" s="85" t="str">
        <f>Roster!A256</f>
        <v/>
      </c>
      <c r="B256" s="42"/>
      <c r="C256" s="45"/>
      <c r="D256" s="45"/>
      <c r="E256" s="46"/>
    </row>
    <row r="257" spans="1:5">
      <c r="A257" s="85" t="str">
        <f>Roster!A257</f>
        <v/>
      </c>
      <c r="B257" s="42"/>
      <c r="C257" s="45"/>
      <c r="D257" s="45"/>
      <c r="E257" s="46"/>
    </row>
    <row r="258" spans="1:5">
      <c r="A258" s="85" t="str">
        <f>Roster!A258</f>
        <v/>
      </c>
      <c r="B258" s="42"/>
      <c r="C258" s="45"/>
      <c r="D258" s="45"/>
      <c r="E258" s="46"/>
    </row>
    <row r="259" spans="1:5">
      <c r="A259" s="85" t="str">
        <f>Roster!A259</f>
        <v/>
      </c>
      <c r="B259" s="42"/>
      <c r="C259" s="45"/>
      <c r="D259" s="45"/>
      <c r="E259" s="46"/>
    </row>
    <row r="260" spans="1:5">
      <c r="A260" s="85" t="str">
        <f>Roster!A260</f>
        <v/>
      </c>
      <c r="B260" s="42"/>
      <c r="C260" s="45"/>
      <c r="D260" s="45"/>
      <c r="E260" s="46"/>
    </row>
    <row r="261" spans="1:5">
      <c r="A261" s="85" t="str">
        <f>Roster!A261</f>
        <v/>
      </c>
      <c r="B261" s="42"/>
      <c r="C261" s="45"/>
      <c r="D261" s="45"/>
      <c r="E261" s="46"/>
    </row>
    <row r="262" spans="1:5">
      <c r="A262" s="85" t="str">
        <f>Roster!A262</f>
        <v/>
      </c>
      <c r="B262" s="42"/>
      <c r="C262" s="45"/>
      <c r="D262" s="45"/>
      <c r="E262" s="46"/>
    </row>
    <row r="263" spans="1:5">
      <c r="A263" s="85" t="str">
        <f>Roster!A263</f>
        <v/>
      </c>
      <c r="B263" s="42"/>
      <c r="C263" s="45"/>
      <c r="D263" s="45"/>
      <c r="E263" s="46"/>
    </row>
    <row r="264" spans="1:5">
      <c r="A264" s="85" t="str">
        <f>Roster!A264</f>
        <v/>
      </c>
      <c r="B264" s="42"/>
      <c r="C264" s="45"/>
      <c r="D264" s="45"/>
      <c r="E264" s="46"/>
    </row>
    <row r="265" spans="1:5">
      <c r="A265" s="85" t="str">
        <f>Roster!A265</f>
        <v/>
      </c>
      <c r="B265" s="42"/>
      <c r="C265" s="45"/>
      <c r="D265" s="45"/>
      <c r="E265" s="46"/>
    </row>
    <row r="266" spans="1:5">
      <c r="A266" s="85" t="str">
        <f>Roster!A266</f>
        <v/>
      </c>
      <c r="B266" s="42"/>
      <c r="C266" s="45"/>
      <c r="D266" s="45"/>
      <c r="E266" s="46"/>
    </row>
    <row r="267" spans="1:5">
      <c r="A267" s="85" t="str">
        <f>Roster!A267</f>
        <v/>
      </c>
      <c r="B267" s="42"/>
      <c r="C267" s="45"/>
      <c r="D267" s="45"/>
      <c r="E267" s="46"/>
    </row>
    <row r="268" spans="1:5">
      <c r="A268" s="85" t="str">
        <f>Roster!A268</f>
        <v/>
      </c>
      <c r="B268" s="42"/>
      <c r="C268" s="45"/>
      <c r="D268" s="45"/>
      <c r="E268" s="46"/>
    </row>
    <row r="269" spans="1:5">
      <c r="A269" s="85" t="str">
        <f>Roster!A269</f>
        <v/>
      </c>
      <c r="B269" s="42"/>
      <c r="C269" s="45"/>
      <c r="D269" s="45"/>
      <c r="E269" s="46"/>
    </row>
    <row r="270" spans="1:5">
      <c r="A270" s="85" t="str">
        <f>Roster!A270</f>
        <v/>
      </c>
      <c r="B270" s="42"/>
      <c r="C270" s="45"/>
      <c r="D270" s="45"/>
      <c r="E270" s="46"/>
    </row>
    <row r="271" spans="1:5">
      <c r="A271" s="85" t="str">
        <f>Roster!A271</f>
        <v/>
      </c>
      <c r="B271" s="42"/>
      <c r="C271" s="45"/>
      <c r="D271" s="45"/>
      <c r="E271" s="46"/>
    </row>
    <row r="272" spans="1:5">
      <c r="A272" s="85" t="str">
        <f>Roster!A272</f>
        <v/>
      </c>
      <c r="B272" s="42"/>
      <c r="C272" s="45"/>
      <c r="D272" s="45"/>
      <c r="E272" s="46"/>
    </row>
    <row r="273" spans="1:5">
      <c r="A273" s="85" t="str">
        <f>Roster!A273</f>
        <v/>
      </c>
      <c r="B273" s="42"/>
      <c r="C273" s="45"/>
      <c r="D273" s="45"/>
      <c r="E273" s="46"/>
    </row>
    <row r="274" spans="1:5">
      <c r="A274" s="85" t="str">
        <f>Roster!A274</f>
        <v/>
      </c>
      <c r="B274" s="42"/>
      <c r="C274" s="45"/>
      <c r="D274" s="45"/>
      <c r="E274" s="46"/>
    </row>
    <row r="275" spans="1:5">
      <c r="A275" s="85" t="str">
        <f>Roster!A275</f>
        <v/>
      </c>
      <c r="B275" s="42"/>
      <c r="C275" s="45"/>
      <c r="D275" s="45"/>
      <c r="E275" s="46"/>
    </row>
    <row r="276" spans="1:5">
      <c r="A276" s="85" t="str">
        <f>Roster!A276</f>
        <v/>
      </c>
      <c r="B276" s="42"/>
      <c r="C276" s="45"/>
      <c r="D276" s="45"/>
      <c r="E276" s="46"/>
    </row>
    <row r="277" spans="1:5">
      <c r="A277" s="85" t="str">
        <f>Roster!A277</f>
        <v/>
      </c>
      <c r="B277" s="42"/>
      <c r="C277" s="45"/>
      <c r="D277" s="45"/>
      <c r="E277" s="46"/>
    </row>
    <row r="278" spans="1:5">
      <c r="A278" s="85" t="str">
        <f>Roster!A278</f>
        <v/>
      </c>
      <c r="B278" s="42"/>
      <c r="C278" s="45"/>
      <c r="D278" s="45"/>
      <c r="E278" s="46"/>
    </row>
    <row r="279" spans="1:5">
      <c r="A279" s="85" t="str">
        <f>Roster!A279</f>
        <v/>
      </c>
      <c r="B279" s="42"/>
      <c r="C279" s="45"/>
      <c r="D279" s="45"/>
      <c r="E279" s="46"/>
    </row>
    <row r="280" spans="1:5">
      <c r="A280" s="85" t="str">
        <f>Roster!A280</f>
        <v/>
      </c>
      <c r="B280" s="42"/>
      <c r="C280" s="45"/>
      <c r="D280" s="45"/>
      <c r="E280" s="46"/>
    </row>
    <row r="281" spans="1:5">
      <c r="A281" s="85" t="str">
        <f>Roster!A281</f>
        <v/>
      </c>
      <c r="B281" s="42"/>
      <c r="C281" s="45"/>
      <c r="D281" s="45"/>
      <c r="E281" s="46"/>
    </row>
    <row r="282" spans="1:5">
      <c r="A282" s="85" t="str">
        <f>Roster!A282</f>
        <v/>
      </c>
      <c r="B282" s="42"/>
      <c r="C282" s="45"/>
      <c r="D282" s="45"/>
      <c r="E282" s="46"/>
    </row>
    <row r="283" spans="1:5">
      <c r="A283" s="85" t="str">
        <f>Roster!A283</f>
        <v/>
      </c>
      <c r="B283" s="42"/>
      <c r="C283" s="45"/>
      <c r="D283" s="45"/>
      <c r="E283" s="46"/>
    </row>
    <row r="284" spans="1:5">
      <c r="A284" s="85" t="str">
        <f>Roster!A284</f>
        <v/>
      </c>
      <c r="B284" s="42"/>
      <c r="C284" s="45"/>
      <c r="D284" s="45"/>
      <c r="E284" s="46"/>
    </row>
    <row r="285" spans="1:5">
      <c r="A285" s="85" t="str">
        <f>Roster!A285</f>
        <v/>
      </c>
      <c r="B285" s="42"/>
      <c r="C285" s="45"/>
      <c r="D285" s="45"/>
      <c r="E285" s="46"/>
    </row>
    <row r="286" spans="1:5">
      <c r="A286" s="85" t="str">
        <f>Roster!A286</f>
        <v/>
      </c>
      <c r="B286" s="42"/>
      <c r="C286" s="45"/>
      <c r="D286" s="45"/>
      <c r="E286" s="46"/>
    </row>
    <row r="287" spans="1:5">
      <c r="A287" s="85" t="str">
        <f>Roster!A287</f>
        <v/>
      </c>
      <c r="B287" s="42"/>
      <c r="C287" s="45"/>
      <c r="D287" s="45"/>
      <c r="E287" s="46"/>
    </row>
    <row r="288" spans="1:5">
      <c r="A288" s="85" t="str">
        <f>Roster!A288</f>
        <v/>
      </c>
      <c r="B288" s="42"/>
      <c r="C288" s="45"/>
      <c r="D288" s="45"/>
      <c r="E288" s="46"/>
    </row>
    <row r="289" spans="1:5">
      <c r="A289" s="85" t="str">
        <f>Roster!A289</f>
        <v/>
      </c>
      <c r="B289" s="42"/>
      <c r="C289" s="45"/>
      <c r="D289" s="45"/>
      <c r="E289" s="46"/>
    </row>
    <row r="290" spans="1:5">
      <c r="A290" s="85" t="str">
        <f>Roster!A290</f>
        <v/>
      </c>
      <c r="B290" s="42"/>
      <c r="C290" s="45"/>
      <c r="D290" s="45"/>
      <c r="E290" s="46"/>
    </row>
    <row r="291" spans="1:5">
      <c r="A291" s="85" t="str">
        <f>Roster!A291</f>
        <v/>
      </c>
      <c r="B291" s="42"/>
      <c r="C291" s="45"/>
      <c r="D291" s="45"/>
      <c r="E291" s="46"/>
    </row>
    <row r="292" spans="1:5">
      <c r="A292" s="85" t="str">
        <f>Roster!A292</f>
        <v/>
      </c>
      <c r="B292" s="42"/>
      <c r="C292" s="45"/>
      <c r="D292" s="45"/>
      <c r="E292" s="46"/>
    </row>
    <row r="293" spans="1:5">
      <c r="A293" s="85" t="str">
        <f>Roster!A293</f>
        <v/>
      </c>
      <c r="B293" s="42"/>
      <c r="C293" s="45"/>
      <c r="D293" s="45"/>
      <c r="E293" s="46"/>
    </row>
    <row r="294" spans="1:5">
      <c r="A294" s="85" t="str">
        <f>Roster!A294</f>
        <v/>
      </c>
      <c r="B294" s="42"/>
      <c r="C294" s="45"/>
      <c r="D294" s="45"/>
      <c r="E294" s="46"/>
    </row>
    <row r="295" spans="1:5">
      <c r="A295" s="85" t="str">
        <f>Roster!A295</f>
        <v/>
      </c>
      <c r="B295" s="42"/>
      <c r="C295" s="45"/>
      <c r="D295" s="45"/>
      <c r="E295" s="46"/>
    </row>
    <row r="296" spans="1:5">
      <c r="A296" s="85" t="str">
        <f>Roster!A296</f>
        <v/>
      </c>
      <c r="B296" s="42"/>
      <c r="C296" s="45"/>
      <c r="D296" s="45"/>
      <c r="E296" s="46"/>
    </row>
    <row r="297" spans="1:5">
      <c r="A297" s="85" t="str">
        <f>Roster!A297</f>
        <v/>
      </c>
      <c r="B297" s="42"/>
      <c r="C297" s="45"/>
      <c r="D297" s="45"/>
      <c r="E297" s="46"/>
    </row>
    <row r="298" spans="1:5">
      <c r="A298" s="85" t="str">
        <f>Roster!A298</f>
        <v/>
      </c>
      <c r="B298" s="42"/>
      <c r="C298" s="45"/>
      <c r="D298" s="45"/>
      <c r="E298" s="46"/>
    </row>
    <row r="299" spans="1:5">
      <c r="A299" s="85" t="str">
        <f>Roster!A299</f>
        <v/>
      </c>
      <c r="B299" s="42"/>
      <c r="C299" s="45"/>
      <c r="D299" s="45"/>
      <c r="E299" s="46"/>
    </row>
    <row r="300" spans="1:5">
      <c r="A300" s="85" t="str">
        <f>Roster!A300</f>
        <v/>
      </c>
      <c r="B300" s="42"/>
      <c r="C300" s="45"/>
      <c r="D300" s="45"/>
      <c r="E300" s="46"/>
    </row>
    <row r="301" spans="1:5">
      <c r="A301" s="85" t="str">
        <f>Roster!A301</f>
        <v/>
      </c>
      <c r="B301" s="42"/>
      <c r="C301" s="45"/>
      <c r="D301" s="45"/>
      <c r="E301" s="46"/>
    </row>
  </sheetData>
  <sheetProtection algorithmName="SHA-512" hashValue="IEaDepn8Od571Cf6D8eg/3n0F1wIrUo+wCQDQ8AUrb/khmcTdaQVMVJL1/U3/KtGcxUlRgLy9gCexFzRtQvCYw==" saltValue="WsuaFapSxeOUh4xMtRDI0Q==" spinCount="100000" sheet="1" objects="1" scenarios="1"/>
  <mergeCells count="1">
    <mergeCell ref="A1:E1"/>
  </mergeCells>
  <dataValidations count="1">
    <dataValidation type="date" operator="greaterThan" allowBlank="1" showInputMessage="1" showErrorMessage="1" errorTitle="Invalid Date" error="Please use a date after 1/1/2023" sqref="B3:B301" xr:uid="{E860D37B-6FB1-4E38-82DA-5DC08B0DF5C5}">
      <formula1>44927</formula1>
    </dataValidation>
  </dataValidations>
  <pageMargins left="0.25" right="0.2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Not Valid" error="Please use the dropdown menu for your entry!" xr:uid="{223FFE52-0EE2-4066-A71B-42FD24EA4F46}">
          <x14:formula1>
            <xm:f>'DropDown Lists'!$D$2:$D$3</xm:f>
          </x14:formula1>
          <xm:sqref>D3:E301 C3:C279 C281:C301</xm:sqref>
        </x14:dataValidation>
        <x14:dataValidation type="list" errorStyle="warning" allowBlank="1" showInputMessage="1" showErrorMessage="1" errorTitle="Not Valid" error="Please use the designated drop down menu!" xr:uid="{02A926C3-D15C-4317-B857-698D9E5B2383}">
          <x14:formula1>
            <xm:f>'DropDown Lists'!$D$2:$D$3</xm:f>
          </x14:formula1>
          <xm:sqref>C280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5055-9576-424E-88AD-D1C03FBF44C5}">
  <sheetPr>
    <tabColor rgb="FF7030A0"/>
  </sheetPr>
  <dimension ref="A1:CI301"/>
  <sheetViews>
    <sheetView zoomScale="85" zoomScaleNormal="85" workbookViewId="0">
      <pane xSplit="1" ySplit="2" topLeftCell="B3" activePane="bottomRight" state="frozen"/>
      <selection pane="topRight" activeCell="B1" sqref="B1"/>
      <selection pane="bottomLeft" activeCell="A2" sqref="A2"/>
      <selection pane="bottomRight" activeCell="F3" sqref="F3"/>
    </sheetView>
  </sheetViews>
  <sheetFormatPr defaultColWidth="8.85546875" defaultRowHeight="15"/>
  <cols>
    <col min="1" max="1" width="19.140625" customWidth="1"/>
    <col min="2" max="2" width="5" style="25" customWidth="1"/>
    <col min="3" max="5" width="13.28515625" style="25" hidden="1" customWidth="1"/>
    <col min="6" max="6" width="18.7109375" style="25" customWidth="1"/>
    <col min="7" max="7" width="10.7109375" customWidth="1"/>
    <col min="8" max="13" width="5" customWidth="1"/>
    <col min="14" max="14" width="15" style="5" customWidth="1"/>
    <col min="15" max="15" width="18.7109375" style="35" customWidth="1"/>
    <col min="16" max="16" width="12.85546875" customWidth="1"/>
    <col min="17" max="22" width="5" customWidth="1"/>
    <col min="23" max="23" width="15" customWidth="1"/>
    <col min="24" max="24" width="18.7109375" style="36" customWidth="1"/>
    <col min="25" max="25" width="12.85546875" customWidth="1"/>
    <col min="26" max="31" width="5" customWidth="1"/>
    <col min="32" max="32" width="15" customWidth="1"/>
    <col min="33" max="33" width="18.7109375" style="36" customWidth="1"/>
    <col min="34" max="34" width="12.85546875" customWidth="1"/>
    <col min="35" max="40" width="5" customWidth="1"/>
    <col min="41" max="41" width="15" customWidth="1"/>
    <col min="42" max="42" width="18.7109375" style="36" customWidth="1"/>
    <col min="43" max="43" width="12.85546875" customWidth="1"/>
    <col min="44" max="49" width="5" customWidth="1"/>
    <col min="50" max="50" width="15" customWidth="1"/>
    <col min="51" max="51" width="18.7109375" style="36" customWidth="1"/>
    <col min="52" max="52" width="12.85546875" customWidth="1"/>
    <col min="53" max="58" width="5" style="25" customWidth="1"/>
    <col min="59" max="59" width="15" customWidth="1"/>
    <col min="60" max="60" width="18.7109375" style="36" customWidth="1"/>
    <col min="61" max="61" width="12.85546875" customWidth="1"/>
    <col min="62" max="67" width="5" style="25" customWidth="1"/>
    <col min="68" max="68" width="15" customWidth="1"/>
    <col min="69" max="69" width="18.7109375" style="36" customWidth="1"/>
    <col min="70" max="70" width="12.85546875" customWidth="1"/>
    <col min="71" max="76" width="5" style="25" customWidth="1"/>
    <col min="77" max="77" width="15" customWidth="1"/>
    <col min="78" max="78" width="17.28515625" style="20" customWidth="1"/>
    <col min="79" max="79" width="16.5703125" customWidth="1"/>
    <col min="80" max="80" width="12.85546875" customWidth="1"/>
    <col min="81" max="86" width="5" style="25" customWidth="1"/>
    <col min="87" max="87" width="15" customWidth="1"/>
  </cols>
  <sheetData>
    <row r="1" spans="1:87" ht="14.45" customHeight="1">
      <c r="A1" s="221" t="s">
        <v>39</v>
      </c>
      <c r="B1" s="222"/>
      <c r="C1" s="194"/>
      <c r="D1" s="194"/>
      <c r="E1" s="194"/>
      <c r="F1" s="34" t="s">
        <v>40</v>
      </c>
      <c r="G1" s="218" t="s">
        <v>41</v>
      </c>
      <c r="H1" s="219"/>
      <c r="I1" s="219"/>
      <c r="J1" s="219"/>
      <c r="K1" s="219"/>
      <c r="L1" s="219"/>
      <c r="M1" s="219"/>
      <c r="N1" s="219"/>
      <c r="O1" s="34" t="s">
        <v>42</v>
      </c>
      <c r="P1" s="218" t="s">
        <v>41</v>
      </c>
      <c r="Q1" s="219"/>
      <c r="R1" s="219"/>
      <c r="S1" s="219"/>
      <c r="T1" s="219"/>
      <c r="U1" s="219"/>
      <c r="V1" s="219"/>
      <c r="W1" s="219"/>
      <c r="X1" s="34" t="s">
        <v>43</v>
      </c>
      <c r="Y1" s="218" t="s">
        <v>41</v>
      </c>
      <c r="Z1" s="219"/>
      <c r="AA1" s="219"/>
      <c r="AB1" s="219"/>
      <c r="AC1" s="219"/>
      <c r="AD1" s="219"/>
      <c r="AE1" s="219"/>
      <c r="AF1" s="219"/>
      <c r="AG1" s="34" t="s">
        <v>44</v>
      </c>
      <c r="AH1" s="218" t="s">
        <v>41</v>
      </c>
      <c r="AI1" s="219"/>
      <c r="AJ1" s="219"/>
      <c r="AK1" s="219"/>
      <c r="AL1" s="219"/>
      <c r="AM1" s="219"/>
      <c r="AN1" s="219"/>
      <c r="AO1" s="219"/>
      <c r="AP1" s="34" t="s">
        <v>45</v>
      </c>
      <c r="AQ1" s="218" t="s">
        <v>41</v>
      </c>
      <c r="AR1" s="219"/>
      <c r="AS1" s="219"/>
      <c r="AT1" s="219"/>
      <c r="AU1" s="219"/>
      <c r="AV1" s="219"/>
      <c r="AW1" s="219"/>
      <c r="AX1" s="219"/>
      <c r="AY1" s="33" t="s">
        <v>46</v>
      </c>
      <c r="AZ1" s="218" t="s">
        <v>41</v>
      </c>
      <c r="BA1" s="219"/>
      <c r="BB1" s="219"/>
      <c r="BC1" s="219"/>
      <c r="BD1" s="219"/>
      <c r="BE1" s="219"/>
      <c r="BF1" s="219"/>
      <c r="BG1" s="220"/>
      <c r="BH1" s="33" t="s">
        <v>47</v>
      </c>
      <c r="BI1" s="218" t="s">
        <v>41</v>
      </c>
      <c r="BJ1" s="219"/>
      <c r="BK1" s="219"/>
      <c r="BL1" s="219"/>
      <c r="BM1" s="219"/>
      <c r="BN1" s="219"/>
      <c r="BO1" s="219"/>
      <c r="BP1" s="220"/>
      <c r="BQ1" s="33" t="s">
        <v>48</v>
      </c>
      <c r="BR1" s="218" t="s">
        <v>41</v>
      </c>
      <c r="BS1" s="219"/>
      <c r="BT1" s="219"/>
      <c r="BU1" s="219"/>
      <c r="BV1" s="219"/>
      <c r="BW1" s="219"/>
      <c r="BX1" s="219"/>
      <c r="BY1" s="220"/>
      <c r="BZ1" s="218" t="s">
        <v>49</v>
      </c>
      <c r="CA1" s="220"/>
      <c r="CB1" s="218" t="s">
        <v>41</v>
      </c>
      <c r="CC1" s="219"/>
      <c r="CD1" s="219"/>
      <c r="CE1" s="219"/>
      <c r="CF1" s="219"/>
      <c r="CG1" s="219"/>
      <c r="CH1" s="219"/>
      <c r="CI1" s="219"/>
    </row>
    <row r="2" spans="1:87" ht="218.25">
      <c r="A2" s="201" t="s">
        <v>33</v>
      </c>
      <c r="B2" s="202" t="s">
        <v>6</v>
      </c>
      <c r="C2" s="27" t="s">
        <v>831</v>
      </c>
      <c r="D2" s="27" t="s">
        <v>832</v>
      </c>
      <c r="E2" s="27" t="s">
        <v>833</v>
      </c>
      <c r="F2" s="14" t="s">
        <v>50</v>
      </c>
      <c r="G2" s="14" t="s">
        <v>51</v>
      </c>
      <c r="H2" s="4" t="s">
        <v>52</v>
      </c>
      <c r="I2" s="4" t="s">
        <v>53</v>
      </c>
      <c r="J2" s="4" t="s">
        <v>54</v>
      </c>
      <c r="K2" s="4" t="s">
        <v>55</v>
      </c>
      <c r="L2" s="4" t="s">
        <v>56</v>
      </c>
      <c r="M2" s="4" t="s">
        <v>57</v>
      </c>
      <c r="N2" s="18" t="s">
        <v>58</v>
      </c>
      <c r="O2" s="209" t="s">
        <v>59</v>
      </c>
      <c r="P2" s="210" t="s">
        <v>60</v>
      </c>
      <c r="Q2" s="211" t="s">
        <v>61</v>
      </c>
      <c r="R2" s="211" t="s">
        <v>62</v>
      </c>
      <c r="S2" s="211" t="s">
        <v>63</v>
      </c>
      <c r="T2" s="211" t="s">
        <v>64</v>
      </c>
      <c r="U2" s="211" t="s">
        <v>65</v>
      </c>
      <c r="V2" s="211" t="s">
        <v>66</v>
      </c>
      <c r="W2" s="212" t="s">
        <v>67</v>
      </c>
      <c r="X2" s="19" t="s">
        <v>68</v>
      </c>
      <c r="Y2" s="15" t="s">
        <v>69</v>
      </c>
      <c r="Z2" s="17" t="s">
        <v>70</v>
      </c>
      <c r="AA2" s="17" t="s">
        <v>71</v>
      </c>
      <c r="AB2" s="17" t="s">
        <v>72</v>
      </c>
      <c r="AC2" s="17" t="s">
        <v>73</v>
      </c>
      <c r="AD2" s="17" t="s">
        <v>74</v>
      </c>
      <c r="AE2" s="17" t="s">
        <v>75</v>
      </c>
      <c r="AF2" s="22" t="s">
        <v>76</v>
      </c>
      <c r="AG2" s="213" t="s">
        <v>77</v>
      </c>
      <c r="AH2" s="210" t="s">
        <v>78</v>
      </c>
      <c r="AI2" s="214" t="s">
        <v>79</v>
      </c>
      <c r="AJ2" s="214" t="s">
        <v>80</v>
      </c>
      <c r="AK2" s="214" t="s">
        <v>81</v>
      </c>
      <c r="AL2" s="214" t="s">
        <v>82</v>
      </c>
      <c r="AM2" s="214" t="s">
        <v>83</v>
      </c>
      <c r="AN2" s="214" t="s">
        <v>84</v>
      </c>
      <c r="AO2" s="212" t="s">
        <v>85</v>
      </c>
      <c r="AP2" s="19" t="s">
        <v>86</v>
      </c>
      <c r="AQ2" s="15" t="s">
        <v>87</v>
      </c>
      <c r="AR2" s="17" t="s">
        <v>88</v>
      </c>
      <c r="AS2" s="17" t="s">
        <v>89</v>
      </c>
      <c r="AT2" s="17" t="s">
        <v>90</v>
      </c>
      <c r="AU2" s="17" t="s">
        <v>91</v>
      </c>
      <c r="AV2" s="17" t="s">
        <v>92</v>
      </c>
      <c r="AW2" s="17" t="s">
        <v>93</v>
      </c>
      <c r="AX2" s="22" t="s">
        <v>94</v>
      </c>
      <c r="AY2" s="213" t="s">
        <v>95</v>
      </c>
      <c r="AZ2" s="210" t="s">
        <v>96</v>
      </c>
      <c r="BA2" s="211" t="s">
        <v>97</v>
      </c>
      <c r="BB2" s="211" t="s">
        <v>98</v>
      </c>
      <c r="BC2" s="211" t="s">
        <v>99</v>
      </c>
      <c r="BD2" s="211" t="s">
        <v>100</v>
      </c>
      <c r="BE2" s="211" t="s">
        <v>101</v>
      </c>
      <c r="BF2" s="211" t="s">
        <v>102</v>
      </c>
      <c r="BG2" s="212" t="s">
        <v>103</v>
      </c>
      <c r="BH2" s="19" t="s">
        <v>104</v>
      </c>
      <c r="BI2" s="15" t="s">
        <v>105</v>
      </c>
      <c r="BJ2" s="17" t="s">
        <v>106</v>
      </c>
      <c r="BK2" s="17" t="s">
        <v>107</v>
      </c>
      <c r="BL2" s="17" t="s">
        <v>108</v>
      </c>
      <c r="BM2" s="17" t="s">
        <v>109</v>
      </c>
      <c r="BN2" s="17" t="s">
        <v>110</v>
      </c>
      <c r="BO2" s="17" t="s">
        <v>111</v>
      </c>
      <c r="BP2" s="22" t="s">
        <v>112</v>
      </c>
      <c r="BQ2" s="213" t="s">
        <v>113</v>
      </c>
      <c r="BR2" s="210" t="s">
        <v>114</v>
      </c>
      <c r="BS2" s="211" t="s">
        <v>115</v>
      </c>
      <c r="BT2" s="211" t="s">
        <v>116</v>
      </c>
      <c r="BU2" s="211" t="s">
        <v>117</v>
      </c>
      <c r="BV2" s="211" t="s">
        <v>118</v>
      </c>
      <c r="BW2" s="211" t="s">
        <v>119</v>
      </c>
      <c r="BX2" s="211" t="s">
        <v>120</v>
      </c>
      <c r="BY2" s="212" t="s">
        <v>121</v>
      </c>
      <c r="BZ2" s="19" t="s">
        <v>122</v>
      </c>
      <c r="CA2" s="15" t="s">
        <v>123</v>
      </c>
      <c r="CB2" s="15" t="s">
        <v>124</v>
      </c>
      <c r="CC2" s="17" t="s">
        <v>125</v>
      </c>
      <c r="CD2" s="17" t="s">
        <v>126</v>
      </c>
      <c r="CE2" s="17" t="s">
        <v>127</v>
      </c>
      <c r="CF2" s="17" t="s">
        <v>128</v>
      </c>
      <c r="CG2" s="17" t="s">
        <v>129</v>
      </c>
      <c r="CH2" s="17" t="s">
        <v>130</v>
      </c>
      <c r="CI2" s="16" t="s">
        <v>131</v>
      </c>
    </row>
    <row r="3" spans="1:87">
      <c r="A3" s="12" t="str">
        <f>Roster!A3</f>
        <v/>
      </c>
      <c r="B3" s="28">
        <f>Roster!C3</f>
        <v>0</v>
      </c>
      <c r="C3" s="28" t="str">
        <f>IF(COUNTIFS(Table36103[[#This Row],[Continue Existing]:[Start New]], "TRUE")=0, "YES", "NO")</f>
        <v>YES</v>
      </c>
      <c r="D3" s="28" t="b">
        <f>COUNTIFS(Table36103[[#This Row],[Screening Results: Drug &amp; Alcohol Assessment 1]:[Other Reason 9]], "Continue with existing treatment services")&gt;0</f>
        <v>0</v>
      </c>
      <c r="E3" s="28" t="b">
        <f>COUNTIFS(Table36103[[#This Row],[Screening Results: Drug &amp; Alcohol Assessment 1]:[Other Reason 9]], "Start new service")&gt;0</f>
        <v>0</v>
      </c>
      <c r="F3" s="55"/>
      <c r="G3" s="56"/>
      <c r="H3" s="57"/>
      <c r="I3" s="57"/>
      <c r="J3" s="57"/>
      <c r="K3" s="57"/>
      <c r="L3" s="57"/>
      <c r="M3" s="57"/>
      <c r="N3" s="51"/>
      <c r="O3" s="58"/>
      <c r="P3" s="56"/>
      <c r="Q3" s="57"/>
      <c r="R3" s="57"/>
      <c r="S3" s="57"/>
      <c r="T3" s="57"/>
      <c r="U3" s="57"/>
      <c r="V3" s="57"/>
      <c r="W3" s="51"/>
      <c r="X3" s="59"/>
      <c r="Y3" s="60"/>
      <c r="Z3" s="61"/>
      <c r="AA3" s="61"/>
      <c r="AB3" s="61"/>
      <c r="AC3" s="61"/>
      <c r="AD3" s="61"/>
      <c r="AE3" s="61"/>
      <c r="AF3" s="62"/>
      <c r="AG3" s="59"/>
      <c r="AH3" s="60"/>
      <c r="AI3" s="61"/>
      <c r="AJ3" s="61"/>
      <c r="AK3" s="61"/>
      <c r="AL3" s="61"/>
      <c r="AM3" s="61"/>
      <c r="AN3" s="61"/>
      <c r="AO3" s="62"/>
      <c r="AP3" s="59"/>
      <c r="AQ3" s="60"/>
      <c r="AR3" s="61"/>
      <c r="AS3" s="61"/>
      <c r="AT3" s="61"/>
      <c r="AU3" s="61"/>
      <c r="AV3" s="61"/>
      <c r="AW3" s="61"/>
      <c r="AX3" s="62"/>
      <c r="AY3" s="59"/>
      <c r="AZ3" s="60"/>
      <c r="BA3" s="63"/>
      <c r="BB3" s="63"/>
      <c r="BC3" s="63"/>
      <c r="BD3" s="63"/>
      <c r="BE3" s="63"/>
      <c r="BF3" s="63"/>
      <c r="BG3" s="62"/>
      <c r="BH3" s="59"/>
      <c r="BI3" s="63"/>
      <c r="BJ3" s="63"/>
      <c r="BK3" s="63"/>
      <c r="BL3" s="63"/>
      <c r="BM3" s="63"/>
      <c r="BN3" s="63"/>
      <c r="BO3" s="63"/>
      <c r="BP3" s="64"/>
      <c r="BQ3" s="59"/>
      <c r="BR3" s="63"/>
      <c r="BS3" s="63"/>
      <c r="BT3" s="63"/>
      <c r="BU3" s="63"/>
      <c r="BV3" s="63"/>
      <c r="BW3" s="63"/>
      <c r="BX3" s="63"/>
      <c r="BY3" s="64"/>
      <c r="BZ3" s="59"/>
      <c r="CA3" s="63"/>
      <c r="CB3" s="63"/>
      <c r="CC3" s="63"/>
      <c r="CD3" s="63"/>
      <c r="CE3" s="63"/>
      <c r="CF3" s="63"/>
      <c r="CG3" s="63"/>
      <c r="CH3" s="63"/>
      <c r="CI3" s="63"/>
    </row>
    <row r="4" spans="1:87">
      <c r="A4" s="12" t="str">
        <f>Roster!A4</f>
        <v/>
      </c>
      <c r="B4" s="28">
        <f>Roster!C4</f>
        <v>0</v>
      </c>
      <c r="C4" s="28" t="str">
        <f>IF(COUNTIFS(Table36103[[#This Row],[Continue Existing]:[Start New]], "TRUE")=0, "YES", "NO")</f>
        <v>YES</v>
      </c>
      <c r="D4" s="28" t="b">
        <f>COUNTIFS(Table36103[[#This Row],[Screening Results: Drug &amp; Alcohol Assessment 1]:[Other Reason 9]], "Continue with existing treatment services")&gt;0</f>
        <v>0</v>
      </c>
      <c r="E4" s="28" t="b">
        <f>COUNTIFS(Table36103[[#This Row],[Screening Results: Drug &amp; Alcohol Assessment 1]:[Other Reason 9]], "Start new service")&gt;0</f>
        <v>0</v>
      </c>
      <c r="F4" s="55"/>
      <c r="G4" s="56"/>
      <c r="H4" s="57"/>
      <c r="I4" s="57"/>
      <c r="J4" s="57"/>
      <c r="K4" s="57"/>
      <c r="L4" s="57"/>
      <c r="M4" s="57"/>
      <c r="N4" s="51"/>
      <c r="O4" s="58"/>
      <c r="P4" s="56"/>
      <c r="Q4" s="57"/>
      <c r="R4" s="57"/>
      <c r="S4" s="57"/>
      <c r="T4" s="57"/>
      <c r="U4" s="57"/>
      <c r="V4" s="57"/>
      <c r="W4" s="51"/>
      <c r="X4" s="65"/>
      <c r="Y4" s="56"/>
      <c r="Z4" s="57"/>
      <c r="AA4" s="57"/>
      <c r="AB4" s="57"/>
      <c r="AC4" s="57"/>
      <c r="AD4" s="57"/>
      <c r="AE4" s="57"/>
      <c r="AF4" s="51"/>
      <c r="AG4" s="65"/>
      <c r="AH4" s="56"/>
      <c r="AI4" s="57"/>
      <c r="AJ4" s="57"/>
      <c r="AK4" s="57"/>
      <c r="AL4" s="57"/>
      <c r="AM4" s="57"/>
      <c r="AN4" s="57"/>
      <c r="AO4" s="51"/>
      <c r="AP4" s="65"/>
      <c r="AQ4" s="56"/>
      <c r="AR4" s="57"/>
      <c r="AS4" s="57"/>
      <c r="AT4" s="57"/>
      <c r="AU4" s="57"/>
      <c r="AV4" s="57"/>
      <c r="AW4" s="57"/>
      <c r="AX4" s="51"/>
      <c r="AY4" s="65"/>
      <c r="AZ4" s="56"/>
      <c r="BA4" s="55"/>
      <c r="BB4" s="55"/>
      <c r="BC4" s="55"/>
      <c r="BD4" s="55"/>
      <c r="BE4" s="55"/>
      <c r="BF4" s="55"/>
      <c r="BG4" s="51"/>
      <c r="BH4" s="65"/>
      <c r="BI4" s="55"/>
      <c r="BJ4" s="55"/>
      <c r="BK4" s="55"/>
      <c r="BL4" s="55"/>
      <c r="BM4" s="55"/>
      <c r="BN4" s="55"/>
      <c r="BO4" s="55"/>
      <c r="BP4" s="66"/>
      <c r="BQ4" s="65"/>
      <c r="BR4" s="55"/>
      <c r="BS4" s="55"/>
      <c r="BT4" s="55"/>
      <c r="BU4" s="55"/>
      <c r="BV4" s="55"/>
      <c r="BW4" s="55"/>
      <c r="BX4" s="55"/>
      <c r="BY4" s="66"/>
      <c r="BZ4" s="65"/>
      <c r="CA4" s="55"/>
      <c r="CB4" s="55"/>
      <c r="CC4" s="55"/>
      <c r="CD4" s="55"/>
      <c r="CE4" s="55"/>
      <c r="CF4" s="55"/>
      <c r="CG4" s="55"/>
      <c r="CH4" s="55"/>
      <c r="CI4" s="55"/>
    </row>
    <row r="5" spans="1:87">
      <c r="A5" s="12" t="str">
        <f>Roster!A5</f>
        <v/>
      </c>
      <c r="B5" s="28">
        <f>Roster!C5</f>
        <v>0</v>
      </c>
      <c r="C5" s="28" t="str">
        <f>IF(COUNTIFS(Table36103[[#This Row],[Continue Existing]:[Start New]], "TRUE")=0, "YES", "NO")</f>
        <v>YES</v>
      </c>
      <c r="D5" s="28" t="b">
        <f>COUNTIFS(Table36103[[#This Row],[Screening Results: Drug &amp; Alcohol Assessment 1]:[Other Reason 9]], "Continue with existing treatment services")&gt;0</f>
        <v>0</v>
      </c>
      <c r="E5" s="28" t="b">
        <f>COUNTIFS(Table36103[[#This Row],[Screening Results: Drug &amp; Alcohol Assessment 1]:[Other Reason 9]], "Start new service")&gt;0</f>
        <v>0</v>
      </c>
      <c r="F5" s="55"/>
      <c r="G5" s="56"/>
      <c r="H5" s="57"/>
      <c r="I5" s="57"/>
      <c r="J5" s="57"/>
      <c r="K5" s="57"/>
      <c r="L5" s="57"/>
      <c r="M5" s="57"/>
      <c r="N5" s="51"/>
      <c r="O5" s="58"/>
      <c r="P5" s="56"/>
      <c r="Q5" s="57"/>
      <c r="R5" s="57"/>
      <c r="S5" s="57"/>
      <c r="T5" s="57"/>
      <c r="U5" s="57"/>
      <c r="V5" s="57"/>
      <c r="W5" s="51"/>
      <c r="X5" s="65"/>
      <c r="Y5" s="56"/>
      <c r="Z5" s="57"/>
      <c r="AA5" s="57"/>
      <c r="AB5" s="57"/>
      <c r="AC5" s="57"/>
      <c r="AD5" s="57"/>
      <c r="AE5" s="57"/>
      <c r="AF5" s="51"/>
      <c r="AG5" s="65"/>
      <c r="AH5" s="56"/>
      <c r="AI5" s="57"/>
      <c r="AJ5" s="57"/>
      <c r="AK5" s="57"/>
      <c r="AL5" s="57"/>
      <c r="AM5" s="57"/>
      <c r="AN5" s="57"/>
      <c r="AO5" s="51"/>
      <c r="AP5" s="65"/>
      <c r="AQ5" s="56"/>
      <c r="AR5" s="57"/>
      <c r="AS5" s="57"/>
      <c r="AT5" s="57"/>
      <c r="AU5" s="57"/>
      <c r="AV5" s="57"/>
      <c r="AW5" s="57"/>
      <c r="AX5" s="51"/>
      <c r="AY5" s="65"/>
      <c r="AZ5" s="56"/>
      <c r="BA5" s="55"/>
      <c r="BB5" s="55"/>
      <c r="BC5" s="55"/>
      <c r="BD5" s="55"/>
      <c r="BE5" s="55"/>
      <c r="BF5" s="55"/>
      <c r="BG5" s="51"/>
      <c r="BH5" s="65"/>
      <c r="BI5" s="55"/>
      <c r="BJ5" s="55"/>
      <c r="BK5" s="55"/>
      <c r="BL5" s="55"/>
      <c r="BM5" s="55"/>
      <c r="BN5" s="55"/>
      <c r="BO5" s="55"/>
      <c r="BP5" s="66"/>
      <c r="BQ5" s="65"/>
      <c r="BR5" s="55"/>
      <c r="BS5" s="55"/>
      <c r="BT5" s="55"/>
      <c r="BU5" s="55"/>
      <c r="BV5" s="55"/>
      <c r="BW5" s="55"/>
      <c r="BX5" s="55"/>
      <c r="BY5" s="66"/>
      <c r="BZ5" s="65"/>
      <c r="CA5" s="55"/>
      <c r="CB5" s="55"/>
      <c r="CC5" s="55"/>
      <c r="CD5" s="55"/>
      <c r="CE5" s="55"/>
      <c r="CF5" s="55"/>
      <c r="CG5" s="55"/>
      <c r="CH5" s="55"/>
      <c r="CI5" s="55"/>
    </row>
    <row r="6" spans="1:87">
      <c r="A6" s="12" t="str">
        <f>Roster!A6</f>
        <v/>
      </c>
      <c r="B6" s="28">
        <f>Roster!C6</f>
        <v>0</v>
      </c>
      <c r="C6" s="28" t="str">
        <f>IF(COUNTIFS(Table36103[[#This Row],[Continue Existing]:[Start New]], "TRUE")=0, "YES", "NO")</f>
        <v>YES</v>
      </c>
      <c r="D6" s="28" t="b">
        <f>COUNTIFS(Table36103[[#This Row],[Screening Results: Drug &amp; Alcohol Assessment 1]:[Other Reason 9]], "Continue with existing treatment services")&gt;0</f>
        <v>0</v>
      </c>
      <c r="E6" s="28" t="b">
        <f>COUNTIFS(Table36103[[#This Row],[Screening Results: Drug &amp; Alcohol Assessment 1]:[Other Reason 9]], "Start new service")&gt;0</f>
        <v>0</v>
      </c>
      <c r="F6" s="55"/>
      <c r="G6" s="56"/>
      <c r="H6" s="57"/>
      <c r="I6" s="57"/>
      <c r="J6" s="57"/>
      <c r="K6" s="57"/>
      <c r="L6" s="57"/>
      <c r="M6" s="57"/>
      <c r="N6" s="51"/>
      <c r="O6" s="58"/>
      <c r="P6" s="56"/>
      <c r="Q6" s="57"/>
      <c r="R6" s="57"/>
      <c r="S6" s="57"/>
      <c r="T6" s="57"/>
      <c r="U6" s="57"/>
      <c r="V6" s="57"/>
      <c r="W6" s="51"/>
      <c r="X6" s="65"/>
      <c r="Y6" s="56"/>
      <c r="Z6" s="57"/>
      <c r="AA6" s="57"/>
      <c r="AB6" s="57"/>
      <c r="AC6" s="57"/>
      <c r="AD6" s="57"/>
      <c r="AE6" s="57"/>
      <c r="AF6" s="51"/>
      <c r="AG6" s="65"/>
      <c r="AH6" s="56"/>
      <c r="AI6" s="57"/>
      <c r="AJ6" s="57"/>
      <c r="AK6" s="57"/>
      <c r="AL6" s="57"/>
      <c r="AM6" s="57"/>
      <c r="AN6" s="57"/>
      <c r="AO6" s="51"/>
      <c r="AP6" s="65"/>
      <c r="AQ6" s="56"/>
      <c r="AR6" s="57"/>
      <c r="AS6" s="57"/>
      <c r="AT6" s="57"/>
      <c r="AU6" s="57"/>
      <c r="AV6" s="57"/>
      <c r="AW6" s="57"/>
      <c r="AX6" s="51"/>
      <c r="AY6" s="65"/>
      <c r="AZ6" s="56"/>
      <c r="BA6" s="55"/>
      <c r="BB6" s="55"/>
      <c r="BC6" s="55"/>
      <c r="BD6" s="55"/>
      <c r="BE6" s="55"/>
      <c r="BF6" s="55"/>
      <c r="BG6" s="51"/>
      <c r="BH6" s="65"/>
      <c r="BI6" s="55"/>
      <c r="BJ6" s="55"/>
      <c r="BK6" s="55"/>
      <c r="BL6" s="55"/>
      <c r="BM6" s="55"/>
      <c r="BN6" s="55"/>
      <c r="BO6" s="55"/>
      <c r="BP6" s="66"/>
      <c r="BQ6" s="65"/>
      <c r="BR6" s="55"/>
      <c r="BS6" s="55"/>
      <c r="BT6" s="55"/>
      <c r="BU6" s="55"/>
      <c r="BV6" s="55"/>
      <c r="BW6" s="55"/>
      <c r="BX6" s="55"/>
      <c r="BY6" s="66"/>
      <c r="BZ6" s="65"/>
      <c r="CA6" s="55"/>
      <c r="CB6" s="55"/>
      <c r="CC6" s="55"/>
      <c r="CD6" s="55"/>
      <c r="CE6" s="55"/>
      <c r="CF6" s="55"/>
      <c r="CG6" s="55"/>
      <c r="CH6" s="55"/>
      <c r="CI6" s="55"/>
    </row>
    <row r="7" spans="1:87">
      <c r="A7" s="12" t="str">
        <f>Roster!A7</f>
        <v/>
      </c>
      <c r="B7" s="28">
        <f>Roster!C7</f>
        <v>0</v>
      </c>
      <c r="C7" s="28" t="str">
        <f>IF(COUNTIFS(Table36103[[#This Row],[Continue Existing]:[Start New]], "TRUE")=0, "YES", "NO")</f>
        <v>YES</v>
      </c>
      <c r="D7" s="28" t="b">
        <f>COUNTIFS(Table36103[[#This Row],[Screening Results: Drug &amp; Alcohol Assessment 1]:[Other Reason 9]], "Continue with existing treatment services")&gt;0</f>
        <v>0</v>
      </c>
      <c r="E7" s="28" t="b">
        <f>COUNTIFS(Table36103[[#This Row],[Screening Results: Drug &amp; Alcohol Assessment 1]:[Other Reason 9]], "Start new service")&gt;0</f>
        <v>0</v>
      </c>
      <c r="F7" s="55"/>
      <c r="G7" s="56"/>
      <c r="H7" s="57"/>
      <c r="I7" s="57"/>
      <c r="J7" s="57"/>
      <c r="K7" s="57"/>
      <c r="L7" s="57"/>
      <c r="M7" s="57"/>
      <c r="N7" s="51"/>
      <c r="O7" s="58"/>
      <c r="P7" s="56"/>
      <c r="Q7" s="57"/>
      <c r="R7" s="57"/>
      <c r="S7" s="57"/>
      <c r="T7" s="57"/>
      <c r="U7" s="57"/>
      <c r="V7" s="57"/>
      <c r="W7" s="51"/>
      <c r="X7" s="65"/>
      <c r="Y7" s="56"/>
      <c r="Z7" s="57"/>
      <c r="AA7" s="57"/>
      <c r="AB7" s="57"/>
      <c r="AC7" s="57"/>
      <c r="AD7" s="57"/>
      <c r="AE7" s="57"/>
      <c r="AF7" s="51"/>
      <c r="AG7" s="65"/>
      <c r="AH7" s="56"/>
      <c r="AI7" s="57"/>
      <c r="AJ7" s="57"/>
      <c r="AK7" s="57"/>
      <c r="AL7" s="57"/>
      <c r="AM7" s="57"/>
      <c r="AN7" s="57"/>
      <c r="AO7" s="51"/>
      <c r="AP7" s="65"/>
      <c r="AQ7" s="56"/>
      <c r="AR7" s="57"/>
      <c r="AS7" s="57"/>
      <c r="AT7" s="57"/>
      <c r="AU7" s="57"/>
      <c r="AV7" s="57"/>
      <c r="AW7" s="57"/>
      <c r="AX7" s="51"/>
      <c r="AY7" s="65"/>
      <c r="AZ7" s="56"/>
      <c r="BA7" s="55"/>
      <c r="BB7" s="55"/>
      <c r="BC7" s="55"/>
      <c r="BD7" s="55"/>
      <c r="BE7" s="55"/>
      <c r="BF7" s="55"/>
      <c r="BG7" s="51"/>
      <c r="BH7" s="65"/>
      <c r="BI7" s="55"/>
      <c r="BJ7" s="55"/>
      <c r="BK7" s="55"/>
      <c r="BL7" s="55"/>
      <c r="BM7" s="55"/>
      <c r="BN7" s="55"/>
      <c r="BO7" s="55"/>
      <c r="BP7" s="66"/>
      <c r="BQ7" s="65"/>
      <c r="BR7" s="55"/>
      <c r="BS7" s="55"/>
      <c r="BT7" s="55"/>
      <c r="BU7" s="55"/>
      <c r="BV7" s="55"/>
      <c r="BW7" s="55"/>
      <c r="BX7" s="55"/>
      <c r="BY7" s="66"/>
      <c r="BZ7" s="65"/>
      <c r="CA7" s="55"/>
      <c r="CB7" s="55"/>
      <c r="CC7" s="55"/>
      <c r="CD7" s="55"/>
      <c r="CE7" s="55"/>
      <c r="CF7" s="55"/>
      <c r="CG7" s="55"/>
      <c r="CH7" s="55"/>
      <c r="CI7" s="55"/>
    </row>
    <row r="8" spans="1:87">
      <c r="A8" s="12" t="str">
        <f>Roster!A8</f>
        <v/>
      </c>
      <c r="B8" s="28">
        <f>Roster!C8</f>
        <v>0</v>
      </c>
      <c r="C8" s="28" t="str">
        <f>IF(COUNTIFS(Table36103[[#This Row],[Continue Existing]:[Start New]], "TRUE")=0, "YES", "NO")</f>
        <v>YES</v>
      </c>
      <c r="D8" s="28" t="b">
        <f>COUNTIFS(Table36103[[#This Row],[Screening Results: Drug &amp; Alcohol Assessment 1]:[Other Reason 9]], "Continue with existing treatment services")&gt;0</f>
        <v>0</v>
      </c>
      <c r="E8" s="28" t="b">
        <f>COUNTIFS(Table36103[[#This Row],[Screening Results: Drug &amp; Alcohol Assessment 1]:[Other Reason 9]], "Start new service")&gt;0</f>
        <v>0</v>
      </c>
      <c r="F8" s="55"/>
      <c r="G8" s="56"/>
      <c r="H8" s="57"/>
      <c r="I8" s="57"/>
      <c r="J8" s="57"/>
      <c r="K8" s="57"/>
      <c r="L8" s="57"/>
      <c r="M8" s="57"/>
      <c r="N8" s="51"/>
      <c r="O8" s="58"/>
      <c r="P8" s="56"/>
      <c r="Q8" s="57"/>
      <c r="R8" s="57"/>
      <c r="S8" s="57"/>
      <c r="T8" s="57"/>
      <c r="U8" s="57"/>
      <c r="V8" s="57"/>
      <c r="W8" s="51"/>
      <c r="X8" s="65"/>
      <c r="Y8" s="56"/>
      <c r="Z8" s="57"/>
      <c r="AA8" s="57"/>
      <c r="AB8" s="57"/>
      <c r="AC8" s="57"/>
      <c r="AD8" s="57"/>
      <c r="AE8" s="57"/>
      <c r="AF8" s="51"/>
      <c r="AG8" s="65"/>
      <c r="AH8" s="56"/>
      <c r="AI8" s="57"/>
      <c r="AJ8" s="57"/>
      <c r="AK8" s="57"/>
      <c r="AL8" s="57"/>
      <c r="AM8" s="57"/>
      <c r="AN8" s="57"/>
      <c r="AO8" s="51"/>
      <c r="AP8" s="65"/>
      <c r="AQ8" s="56"/>
      <c r="AR8" s="57"/>
      <c r="AS8" s="57"/>
      <c r="AT8" s="57"/>
      <c r="AU8" s="57"/>
      <c r="AV8" s="57"/>
      <c r="AW8" s="57"/>
      <c r="AX8" s="51"/>
      <c r="AY8" s="65"/>
      <c r="AZ8" s="56"/>
      <c r="BA8" s="55"/>
      <c r="BB8" s="55"/>
      <c r="BC8" s="55"/>
      <c r="BD8" s="55"/>
      <c r="BE8" s="55"/>
      <c r="BF8" s="55"/>
      <c r="BG8" s="51"/>
      <c r="BH8" s="65"/>
      <c r="BI8" s="55"/>
      <c r="BJ8" s="55"/>
      <c r="BK8" s="55"/>
      <c r="BL8" s="55"/>
      <c r="BM8" s="55"/>
      <c r="BN8" s="55"/>
      <c r="BO8" s="55"/>
      <c r="BP8" s="66"/>
      <c r="BQ8" s="65"/>
      <c r="BR8" s="55"/>
      <c r="BS8" s="55"/>
      <c r="BT8" s="55"/>
      <c r="BU8" s="55"/>
      <c r="BV8" s="55"/>
      <c r="BW8" s="55"/>
      <c r="BX8" s="55"/>
      <c r="BY8" s="66"/>
      <c r="BZ8" s="65"/>
      <c r="CA8" s="55"/>
      <c r="CB8" s="55"/>
      <c r="CC8" s="55"/>
      <c r="CD8" s="55"/>
      <c r="CE8" s="55"/>
      <c r="CF8" s="55"/>
      <c r="CG8" s="55"/>
      <c r="CH8" s="55"/>
      <c r="CI8" s="55"/>
    </row>
    <row r="9" spans="1:87">
      <c r="A9" s="12" t="str">
        <f>Roster!A9</f>
        <v/>
      </c>
      <c r="B9" s="28">
        <f>Roster!C9</f>
        <v>0</v>
      </c>
      <c r="C9" s="28" t="str">
        <f>IF(COUNTIFS(Table36103[[#This Row],[Continue Existing]:[Start New]], "TRUE")=0, "YES", "NO")</f>
        <v>YES</v>
      </c>
      <c r="D9" s="28" t="b">
        <f>COUNTIFS(Table36103[[#This Row],[Screening Results: Drug &amp; Alcohol Assessment 1]:[Other Reason 9]], "Continue with existing treatment services")&gt;0</f>
        <v>0</v>
      </c>
      <c r="E9" s="28" t="b">
        <f>COUNTIFS(Table36103[[#This Row],[Screening Results: Drug &amp; Alcohol Assessment 1]:[Other Reason 9]], "Start new service")&gt;0</f>
        <v>0</v>
      </c>
      <c r="F9" s="55"/>
      <c r="G9" s="56"/>
      <c r="H9" s="57"/>
      <c r="I9" s="57"/>
      <c r="J9" s="57"/>
      <c r="K9" s="57"/>
      <c r="L9" s="57"/>
      <c r="M9" s="57"/>
      <c r="N9" s="51"/>
      <c r="O9" s="58"/>
      <c r="P9" s="56"/>
      <c r="Q9" s="57"/>
      <c r="R9" s="57"/>
      <c r="S9" s="57"/>
      <c r="T9" s="57"/>
      <c r="U9" s="57"/>
      <c r="V9" s="57"/>
      <c r="W9" s="51"/>
      <c r="X9" s="65"/>
      <c r="Y9" s="56"/>
      <c r="Z9" s="57"/>
      <c r="AA9" s="57"/>
      <c r="AB9" s="57"/>
      <c r="AC9" s="57"/>
      <c r="AD9" s="57"/>
      <c r="AE9" s="57"/>
      <c r="AF9" s="51"/>
      <c r="AG9" s="65"/>
      <c r="AH9" s="56"/>
      <c r="AI9" s="57"/>
      <c r="AJ9" s="57"/>
      <c r="AK9" s="57"/>
      <c r="AL9" s="57"/>
      <c r="AM9" s="57"/>
      <c r="AN9" s="57"/>
      <c r="AO9" s="51"/>
      <c r="AP9" s="65"/>
      <c r="AQ9" s="56"/>
      <c r="AR9" s="57"/>
      <c r="AS9" s="57"/>
      <c r="AT9" s="57"/>
      <c r="AU9" s="57"/>
      <c r="AV9" s="57"/>
      <c r="AW9" s="57"/>
      <c r="AX9" s="51"/>
      <c r="AY9" s="65"/>
      <c r="AZ9" s="56"/>
      <c r="BA9" s="55"/>
      <c r="BB9" s="55"/>
      <c r="BC9" s="55"/>
      <c r="BD9" s="55"/>
      <c r="BE9" s="55"/>
      <c r="BF9" s="55"/>
      <c r="BG9" s="51"/>
      <c r="BH9" s="65"/>
      <c r="BI9" s="55"/>
      <c r="BJ9" s="55"/>
      <c r="BK9" s="55"/>
      <c r="BL9" s="55"/>
      <c r="BM9" s="55"/>
      <c r="BN9" s="55"/>
      <c r="BO9" s="55"/>
      <c r="BP9" s="66"/>
      <c r="BQ9" s="65"/>
      <c r="BR9" s="55"/>
      <c r="BS9" s="55"/>
      <c r="BT9" s="55"/>
      <c r="BU9" s="55"/>
      <c r="BV9" s="55"/>
      <c r="BW9" s="55"/>
      <c r="BX9" s="55"/>
      <c r="BY9" s="66"/>
      <c r="BZ9" s="65"/>
      <c r="CA9" s="55"/>
      <c r="CB9" s="55"/>
      <c r="CC9" s="55"/>
      <c r="CD9" s="55"/>
      <c r="CE9" s="55"/>
      <c r="CF9" s="55"/>
      <c r="CG9" s="55"/>
      <c r="CH9" s="55"/>
      <c r="CI9" s="55"/>
    </row>
    <row r="10" spans="1:87">
      <c r="A10" s="12" t="str">
        <f>Roster!A10</f>
        <v/>
      </c>
      <c r="B10" s="28">
        <f>Roster!C10</f>
        <v>0</v>
      </c>
      <c r="C10" s="28" t="str">
        <f>IF(COUNTIFS(Table36103[[#This Row],[Continue Existing]:[Start New]], "TRUE")=0, "YES", "NO")</f>
        <v>YES</v>
      </c>
      <c r="D10" s="28" t="b">
        <f>COUNTIFS(Table36103[[#This Row],[Screening Results: Drug &amp; Alcohol Assessment 1]:[Other Reason 9]], "Continue with existing treatment services")&gt;0</f>
        <v>0</v>
      </c>
      <c r="E10" s="28" t="b">
        <f>COUNTIFS(Table36103[[#This Row],[Screening Results: Drug &amp; Alcohol Assessment 1]:[Other Reason 9]], "Start new service")&gt;0</f>
        <v>0</v>
      </c>
      <c r="F10" s="55"/>
      <c r="G10" s="56"/>
      <c r="H10" s="57"/>
      <c r="I10" s="57"/>
      <c r="J10" s="57"/>
      <c r="K10" s="57"/>
      <c r="L10" s="57"/>
      <c r="M10" s="57"/>
      <c r="N10" s="51"/>
      <c r="O10" s="58"/>
      <c r="P10" s="56"/>
      <c r="Q10" s="57"/>
      <c r="R10" s="57"/>
      <c r="S10" s="57"/>
      <c r="T10" s="57"/>
      <c r="U10" s="57"/>
      <c r="V10" s="57"/>
      <c r="W10" s="51"/>
      <c r="X10" s="65"/>
      <c r="Y10" s="56"/>
      <c r="Z10" s="57"/>
      <c r="AA10" s="57"/>
      <c r="AB10" s="57"/>
      <c r="AC10" s="57"/>
      <c r="AD10" s="57"/>
      <c r="AE10" s="57"/>
      <c r="AF10" s="51"/>
      <c r="AG10" s="65"/>
      <c r="AH10" s="56"/>
      <c r="AI10" s="57"/>
      <c r="AJ10" s="57"/>
      <c r="AK10" s="57"/>
      <c r="AL10" s="57"/>
      <c r="AM10" s="57"/>
      <c r="AN10" s="57"/>
      <c r="AO10" s="51"/>
      <c r="AP10" s="65"/>
      <c r="AQ10" s="56"/>
      <c r="AR10" s="57"/>
      <c r="AS10" s="57"/>
      <c r="AT10" s="57"/>
      <c r="AU10" s="57"/>
      <c r="AV10" s="57"/>
      <c r="AW10" s="57"/>
      <c r="AX10" s="51"/>
      <c r="AY10" s="65"/>
      <c r="AZ10" s="56"/>
      <c r="BA10" s="55"/>
      <c r="BB10" s="55"/>
      <c r="BC10" s="55"/>
      <c r="BD10" s="55"/>
      <c r="BE10" s="55"/>
      <c r="BF10" s="55"/>
      <c r="BG10" s="51"/>
      <c r="BH10" s="65"/>
      <c r="BI10" s="55"/>
      <c r="BJ10" s="55"/>
      <c r="BK10" s="55"/>
      <c r="BL10" s="55"/>
      <c r="BM10" s="55"/>
      <c r="BN10" s="55"/>
      <c r="BO10" s="55"/>
      <c r="BP10" s="66"/>
      <c r="BQ10" s="65"/>
      <c r="BR10" s="55"/>
      <c r="BS10" s="55"/>
      <c r="BT10" s="55"/>
      <c r="BU10" s="55"/>
      <c r="BV10" s="55"/>
      <c r="BW10" s="55"/>
      <c r="BX10" s="55"/>
      <c r="BY10" s="66"/>
      <c r="BZ10" s="65"/>
      <c r="CA10" s="55"/>
      <c r="CB10" s="55"/>
      <c r="CC10" s="55"/>
      <c r="CD10" s="55"/>
      <c r="CE10" s="55"/>
      <c r="CF10" s="55"/>
      <c r="CG10" s="55"/>
      <c r="CH10" s="55"/>
      <c r="CI10" s="55"/>
    </row>
    <row r="11" spans="1:87" ht="14.45" customHeight="1">
      <c r="A11" s="12" t="str">
        <f>Roster!A11</f>
        <v/>
      </c>
      <c r="B11" s="28">
        <f>Roster!C11</f>
        <v>0</v>
      </c>
      <c r="C11" s="28" t="str">
        <f>IF(COUNTIFS(Table36103[[#This Row],[Continue Existing]:[Start New]], "TRUE")=0, "YES", "NO")</f>
        <v>YES</v>
      </c>
      <c r="D11" s="28" t="b">
        <f>COUNTIFS(Table36103[[#This Row],[Screening Results: Drug &amp; Alcohol Assessment 1]:[Other Reason 9]], "Continue with existing treatment services")&gt;0</f>
        <v>0</v>
      </c>
      <c r="E11" s="28" t="b">
        <f>COUNTIFS(Table36103[[#This Row],[Screening Results: Drug &amp; Alcohol Assessment 1]:[Other Reason 9]], "Start new service")&gt;0</f>
        <v>0</v>
      </c>
      <c r="F11" s="55"/>
      <c r="G11" s="56"/>
      <c r="H11" s="57"/>
      <c r="I11" s="57"/>
      <c r="J11" s="57"/>
      <c r="K11" s="57"/>
      <c r="L11" s="57"/>
      <c r="M11" s="57"/>
      <c r="N11" s="51"/>
      <c r="O11" s="58"/>
      <c r="P11" s="56"/>
      <c r="Q11" s="57"/>
      <c r="R11" s="57"/>
      <c r="S11" s="57"/>
      <c r="T11" s="57"/>
      <c r="U11" s="57"/>
      <c r="V11" s="57"/>
      <c r="W11" s="51"/>
      <c r="X11" s="65"/>
      <c r="Y11" s="56"/>
      <c r="Z11" s="57"/>
      <c r="AA11" s="57"/>
      <c r="AB11" s="57"/>
      <c r="AC11" s="57"/>
      <c r="AD11" s="57"/>
      <c r="AE11" s="57"/>
      <c r="AF11" s="51"/>
      <c r="AG11" s="65"/>
      <c r="AH11" s="56"/>
      <c r="AI11" s="57"/>
      <c r="AJ11" s="57"/>
      <c r="AK11" s="57"/>
      <c r="AL11" s="57"/>
      <c r="AM11" s="57"/>
      <c r="AN11" s="57"/>
      <c r="AO11" s="51"/>
      <c r="AP11" s="65"/>
      <c r="AQ11" s="56"/>
      <c r="AR11" s="57"/>
      <c r="AS11" s="57"/>
      <c r="AT11" s="57"/>
      <c r="AU11" s="57"/>
      <c r="AV11" s="57"/>
      <c r="AW11" s="57"/>
      <c r="AX11" s="51"/>
      <c r="AY11" s="65"/>
      <c r="AZ11" s="56"/>
      <c r="BA11" s="55"/>
      <c r="BB11" s="55"/>
      <c r="BC11" s="55"/>
      <c r="BD11" s="55"/>
      <c r="BE11" s="55"/>
      <c r="BF11" s="55"/>
      <c r="BG11" s="51"/>
      <c r="BH11" s="65"/>
      <c r="BI11" s="55"/>
      <c r="BJ11" s="55"/>
      <c r="BK11" s="55"/>
      <c r="BL11" s="55"/>
      <c r="BM11" s="55"/>
      <c r="BN11" s="55"/>
      <c r="BO11" s="55"/>
      <c r="BP11" s="66"/>
      <c r="BQ11" s="65"/>
      <c r="BR11" s="55"/>
      <c r="BS11" s="55"/>
      <c r="BT11" s="55"/>
      <c r="BU11" s="55"/>
      <c r="BV11" s="55"/>
      <c r="BW11" s="55"/>
      <c r="BX11" s="55"/>
      <c r="BY11" s="66"/>
      <c r="BZ11" s="65"/>
      <c r="CA11" s="55"/>
      <c r="CB11" s="55"/>
      <c r="CC11" s="55"/>
      <c r="CD11" s="55"/>
      <c r="CE11" s="55"/>
      <c r="CF11" s="55"/>
      <c r="CG11" s="55"/>
      <c r="CH11" s="55"/>
      <c r="CI11" s="55"/>
    </row>
    <row r="12" spans="1:87">
      <c r="A12" s="12" t="str">
        <f>Roster!A12</f>
        <v/>
      </c>
      <c r="B12" s="28">
        <f>Roster!C12</f>
        <v>0</v>
      </c>
      <c r="C12" s="28" t="str">
        <f>IF(COUNTIFS(Table36103[[#This Row],[Continue Existing]:[Start New]], "TRUE")=0, "YES", "NO")</f>
        <v>YES</v>
      </c>
      <c r="D12" s="28" t="b">
        <f>COUNTIFS(Table36103[[#This Row],[Screening Results: Drug &amp; Alcohol Assessment 1]:[Other Reason 9]], "Continue with existing treatment services")&gt;0</f>
        <v>0</v>
      </c>
      <c r="E12" s="28" t="b">
        <f>COUNTIFS(Table36103[[#This Row],[Screening Results: Drug &amp; Alcohol Assessment 1]:[Other Reason 9]], "Start new service")&gt;0</f>
        <v>0</v>
      </c>
      <c r="F12" s="55"/>
      <c r="G12" s="56"/>
      <c r="H12" s="57"/>
      <c r="I12" s="57"/>
      <c r="J12" s="57"/>
      <c r="K12" s="57"/>
      <c r="L12" s="57"/>
      <c r="M12" s="57"/>
      <c r="N12" s="51"/>
      <c r="O12" s="58"/>
      <c r="P12" s="56"/>
      <c r="Q12" s="57"/>
      <c r="R12" s="57"/>
      <c r="S12" s="57"/>
      <c r="T12" s="57"/>
      <c r="U12" s="57"/>
      <c r="V12" s="57"/>
      <c r="W12" s="51"/>
      <c r="X12" s="65"/>
      <c r="Y12" s="56"/>
      <c r="Z12" s="57"/>
      <c r="AA12" s="57"/>
      <c r="AB12" s="57"/>
      <c r="AC12" s="57"/>
      <c r="AD12" s="57"/>
      <c r="AE12" s="57"/>
      <c r="AF12" s="51"/>
      <c r="AG12" s="65"/>
      <c r="AH12" s="56"/>
      <c r="AI12" s="57"/>
      <c r="AJ12" s="57"/>
      <c r="AK12" s="57"/>
      <c r="AL12" s="57"/>
      <c r="AM12" s="57"/>
      <c r="AN12" s="57"/>
      <c r="AO12" s="51"/>
      <c r="AP12" s="65"/>
      <c r="AQ12" s="56"/>
      <c r="AR12" s="57"/>
      <c r="AS12" s="57"/>
      <c r="AT12" s="57"/>
      <c r="AU12" s="57"/>
      <c r="AV12" s="57"/>
      <c r="AW12" s="57"/>
      <c r="AX12" s="51"/>
      <c r="AY12" s="65"/>
      <c r="AZ12" s="56"/>
      <c r="BA12" s="55"/>
      <c r="BB12" s="55"/>
      <c r="BC12" s="55"/>
      <c r="BD12" s="55"/>
      <c r="BE12" s="55"/>
      <c r="BF12" s="55"/>
      <c r="BG12" s="51"/>
      <c r="BH12" s="65"/>
      <c r="BI12" s="55"/>
      <c r="BJ12" s="55"/>
      <c r="BK12" s="55"/>
      <c r="BL12" s="55"/>
      <c r="BM12" s="55"/>
      <c r="BN12" s="55"/>
      <c r="BO12" s="55"/>
      <c r="BP12" s="66"/>
      <c r="BQ12" s="65"/>
      <c r="BR12" s="55"/>
      <c r="BS12" s="55"/>
      <c r="BT12" s="55"/>
      <c r="BU12" s="55"/>
      <c r="BV12" s="55"/>
      <c r="BW12" s="55"/>
      <c r="BX12" s="55"/>
      <c r="BY12" s="66"/>
      <c r="BZ12" s="65"/>
      <c r="CA12" s="55"/>
      <c r="CB12" s="55"/>
      <c r="CC12" s="55"/>
      <c r="CD12" s="55"/>
      <c r="CE12" s="55"/>
      <c r="CF12" s="55"/>
      <c r="CG12" s="55"/>
      <c r="CH12" s="55"/>
      <c r="CI12" s="55"/>
    </row>
    <row r="13" spans="1:87">
      <c r="A13" s="12" t="str">
        <f>Roster!A13</f>
        <v/>
      </c>
      <c r="B13" s="28">
        <f>Roster!C13</f>
        <v>0</v>
      </c>
      <c r="C13" s="28" t="str">
        <f>IF(COUNTIFS(Table36103[[#This Row],[Continue Existing]:[Start New]], "TRUE")=0, "YES", "NO")</f>
        <v>YES</v>
      </c>
      <c r="D13" s="28" t="b">
        <f>COUNTIFS(Table36103[[#This Row],[Screening Results: Drug &amp; Alcohol Assessment 1]:[Other Reason 9]], "Continue with existing treatment services")&gt;0</f>
        <v>0</v>
      </c>
      <c r="E13" s="28" t="b">
        <f>COUNTIFS(Table36103[[#This Row],[Screening Results: Drug &amp; Alcohol Assessment 1]:[Other Reason 9]], "Start new service")&gt;0</f>
        <v>0</v>
      </c>
      <c r="F13" s="55"/>
      <c r="G13" s="56"/>
      <c r="H13" s="57"/>
      <c r="I13" s="57"/>
      <c r="J13" s="57"/>
      <c r="K13" s="57"/>
      <c r="L13" s="57"/>
      <c r="M13" s="57"/>
      <c r="N13" s="51"/>
      <c r="O13" s="58"/>
      <c r="P13" s="56"/>
      <c r="Q13" s="57"/>
      <c r="R13" s="57"/>
      <c r="S13" s="57"/>
      <c r="T13" s="57"/>
      <c r="U13" s="57"/>
      <c r="V13" s="57"/>
      <c r="W13" s="51"/>
      <c r="X13" s="65"/>
      <c r="Y13" s="56"/>
      <c r="Z13" s="57"/>
      <c r="AA13" s="57"/>
      <c r="AB13" s="57"/>
      <c r="AC13" s="57"/>
      <c r="AD13" s="57"/>
      <c r="AE13" s="57"/>
      <c r="AF13" s="51"/>
      <c r="AG13" s="65"/>
      <c r="AH13" s="56"/>
      <c r="AI13" s="57"/>
      <c r="AJ13" s="57"/>
      <c r="AK13" s="57"/>
      <c r="AL13" s="57"/>
      <c r="AM13" s="57"/>
      <c r="AN13" s="57"/>
      <c r="AO13" s="51"/>
      <c r="AP13" s="65"/>
      <c r="AQ13" s="56"/>
      <c r="AR13" s="57"/>
      <c r="AS13" s="57"/>
      <c r="AT13" s="57"/>
      <c r="AU13" s="57"/>
      <c r="AV13" s="57"/>
      <c r="AW13" s="57"/>
      <c r="AX13" s="51"/>
      <c r="AY13" s="65"/>
      <c r="AZ13" s="56"/>
      <c r="BA13" s="55"/>
      <c r="BB13" s="55"/>
      <c r="BC13" s="55"/>
      <c r="BD13" s="55"/>
      <c r="BE13" s="55"/>
      <c r="BF13" s="55"/>
      <c r="BG13" s="51"/>
      <c r="BH13" s="65"/>
      <c r="BI13" s="55"/>
      <c r="BJ13" s="55"/>
      <c r="BK13" s="55"/>
      <c r="BL13" s="55"/>
      <c r="BM13" s="55"/>
      <c r="BN13" s="55"/>
      <c r="BO13" s="55"/>
      <c r="BP13" s="66"/>
      <c r="BQ13" s="65"/>
      <c r="BR13" s="55"/>
      <c r="BS13" s="55"/>
      <c r="BT13" s="55"/>
      <c r="BU13" s="55"/>
      <c r="BV13" s="55"/>
      <c r="BW13" s="55"/>
      <c r="BX13" s="55"/>
      <c r="BY13" s="66"/>
      <c r="BZ13" s="65"/>
      <c r="CA13" s="55"/>
      <c r="CB13" s="55"/>
      <c r="CC13" s="55"/>
      <c r="CD13" s="55"/>
      <c r="CE13" s="55"/>
      <c r="CF13" s="55"/>
      <c r="CG13" s="55"/>
      <c r="CH13" s="55"/>
      <c r="CI13" s="55"/>
    </row>
    <row r="14" spans="1:87">
      <c r="A14" s="12" t="str">
        <f>Roster!A14</f>
        <v/>
      </c>
      <c r="B14" s="28">
        <f>Roster!C14</f>
        <v>0</v>
      </c>
      <c r="C14" s="28" t="str">
        <f>IF(COUNTIFS(Table36103[[#This Row],[Continue Existing]:[Start New]], "TRUE")=0, "YES", "NO")</f>
        <v>YES</v>
      </c>
      <c r="D14" s="28" t="b">
        <f>COUNTIFS(Table36103[[#This Row],[Screening Results: Drug &amp; Alcohol Assessment 1]:[Other Reason 9]], "Continue with existing treatment services")&gt;0</f>
        <v>0</v>
      </c>
      <c r="E14" s="28" t="b">
        <f>COUNTIFS(Table36103[[#This Row],[Screening Results: Drug &amp; Alcohol Assessment 1]:[Other Reason 9]], "Start new service")&gt;0</f>
        <v>0</v>
      </c>
      <c r="F14" s="55"/>
      <c r="G14" s="56"/>
      <c r="H14" s="57"/>
      <c r="I14" s="57"/>
      <c r="J14" s="57"/>
      <c r="K14" s="57"/>
      <c r="L14" s="57"/>
      <c r="M14" s="57"/>
      <c r="N14" s="51"/>
      <c r="O14" s="58"/>
      <c r="P14" s="56"/>
      <c r="Q14" s="57"/>
      <c r="R14" s="57"/>
      <c r="S14" s="57"/>
      <c r="T14" s="57"/>
      <c r="U14" s="57"/>
      <c r="V14" s="57"/>
      <c r="W14" s="51"/>
      <c r="X14" s="65"/>
      <c r="Y14" s="56"/>
      <c r="Z14" s="57"/>
      <c r="AA14" s="57"/>
      <c r="AB14" s="57"/>
      <c r="AC14" s="57"/>
      <c r="AD14" s="57"/>
      <c r="AE14" s="57"/>
      <c r="AF14" s="51"/>
      <c r="AG14" s="65"/>
      <c r="AH14" s="56"/>
      <c r="AI14" s="57"/>
      <c r="AJ14" s="57"/>
      <c r="AK14" s="57"/>
      <c r="AL14" s="57"/>
      <c r="AM14" s="57"/>
      <c r="AN14" s="57"/>
      <c r="AO14" s="51"/>
      <c r="AP14" s="65"/>
      <c r="AQ14" s="56"/>
      <c r="AR14" s="57"/>
      <c r="AS14" s="57"/>
      <c r="AT14" s="57"/>
      <c r="AU14" s="57"/>
      <c r="AV14" s="57"/>
      <c r="AW14" s="57"/>
      <c r="AX14" s="51"/>
      <c r="AY14" s="65"/>
      <c r="AZ14" s="56"/>
      <c r="BA14" s="55"/>
      <c r="BB14" s="55"/>
      <c r="BC14" s="55"/>
      <c r="BD14" s="55"/>
      <c r="BE14" s="55"/>
      <c r="BF14" s="55"/>
      <c r="BG14" s="51"/>
      <c r="BH14" s="65"/>
      <c r="BI14" s="55"/>
      <c r="BJ14" s="55"/>
      <c r="BK14" s="55"/>
      <c r="BL14" s="55"/>
      <c r="BM14" s="55"/>
      <c r="BN14" s="55"/>
      <c r="BO14" s="55"/>
      <c r="BP14" s="66"/>
      <c r="BQ14" s="65"/>
      <c r="BR14" s="55"/>
      <c r="BS14" s="55"/>
      <c r="BT14" s="55"/>
      <c r="BU14" s="55"/>
      <c r="BV14" s="55"/>
      <c r="BW14" s="55"/>
      <c r="BX14" s="55"/>
      <c r="BY14" s="66"/>
      <c r="BZ14" s="65"/>
      <c r="CA14" s="55"/>
      <c r="CB14" s="55"/>
      <c r="CC14" s="55"/>
      <c r="CD14" s="55"/>
      <c r="CE14" s="55"/>
      <c r="CF14" s="55"/>
      <c r="CG14" s="55"/>
      <c r="CH14" s="55"/>
      <c r="CI14" s="55"/>
    </row>
    <row r="15" spans="1:87">
      <c r="A15" s="12" t="str">
        <f>Roster!A15</f>
        <v/>
      </c>
      <c r="B15" s="28">
        <f>Roster!C15</f>
        <v>0</v>
      </c>
      <c r="C15" s="28" t="str">
        <f>IF(COUNTIFS(Table36103[[#This Row],[Continue Existing]:[Start New]], "TRUE")=0, "YES", "NO")</f>
        <v>YES</v>
      </c>
      <c r="D15" s="28" t="b">
        <f>COUNTIFS(Table36103[[#This Row],[Screening Results: Drug &amp; Alcohol Assessment 1]:[Other Reason 9]], "Continue with existing treatment services")&gt;0</f>
        <v>0</v>
      </c>
      <c r="E15" s="28" t="b">
        <f>COUNTIFS(Table36103[[#This Row],[Screening Results: Drug &amp; Alcohol Assessment 1]:[Other Reason 9]], "Start new service")&gt;0</f>
        <v>0</v>
      </c>
      <c r="F15" s="55"/>
      <c r="G15" s="56"/>
      <c r="H15" s="57"/>
      <c r="I15" s="57"/>
      <c r="J15" s="57"/>
      <c r="K15" s="57"/>
      <c r="L15" s="57"/>
      <c r="M15" s="57"/>
      <c r="N15" s="51"/>
      <c r="O15" s="58"/>
      <c r="P15" s="56"/>
      <c r="Q15" s="57"/>
      <c r="R15" s="57"/>
      <c r="S15" s="57"/>
      <c r="T15" s="57"/>
      <c r="U15" s="57"/>
      <c r="V15" s="57"/>
      <c r="W15" s="51"/>
      <c r="X15" s="65"/>
      <c r="Y15" s="56"/>
      <c r="Z15" s="57"/>
      <c r="AA15" s="57"/>
      <c r="AB15" s="57"/>
      <c r="AC15" s="57"/>
      <c r="AD15" s="57"/>
      <c r="AE15" s="57"/>
      <c r="AF15" s="51"/>
      <c r="AG15" s="65"/>
      <c r="AH15" s="56"/>
      <c r="AI15" s="57"/>
      <c r="AJ15" s="57"/>
      <c r="AK15" s="57"/>
      <c r="AL15" s="57"/>
      <c r="AM15" s="57"/>
      <c r="AN15" s="57"/>
      <c r="AO15" s="51"/>
      <c r="AP15" s="65"/>
      <c r="AQ15" s="56"/>
      <c r="AR15" s="57"/>
      <c r="AS15" s="57"/>
      <c r="AT15" s="57"/>
      <c r="AU15" s="57"/>
      <c r="AV15" s="57"/>
      <c r="AW15" s="57"/>
      <c r="AX15" s="51"/>
      <c r="AY15" s="65"/>
      <c r="AZ15" s="56"/>
      <c r="BA15" s="55"/>
      <c r="BB15" s="55"/>
      <c r="BC15" s="55"/>
      <c r="BD15" s="55"/>
      <c r="BE15" s="55"/>
      <c r="BF15" s="55"/>
      <c r="BG15" s="51"/>
      <c r="BH15" s="65"/>
      <c r="BI15" s="55"/>
      <c r="BJ15" s="55"/>
      <c r="BK15" s="55"/>
      <c r="BL15" s="55"/>
      <c r="BM15" s="55"/>
      <c r="BN15" s="55"/>
      <c r="BO15" s="55"/>
      <c r="BP15" s="66"/>
      <c r="BQ15" s="65"/>
      <c r="BR15" s="55"/>
      <c r="BS15" s="55"/>
      <c r="BT15" s="55"/>
      <c r="BU15" s="55"/>
      <c r="BV15" s="55"/>
      <c r="BW15" s="55"/>
      <c r="BX15" s="55"/>
      <c r="BY15" s="66"/>
      <c r="BZ15" s="65"/>
      <c r="CA15" s="55"/>
      <c r="CB15" s="55"/>
      <c r="CC15" s="55"/>
      <c r="CD15" s="55"/>
      <c r="CE15" s="55"/>
      <c r="CF15" s="55"/>
      <c r="CG15" s="55"/>
      <c r="CH15" s="55"/>
      <c r="CI15" s="55"/>
    </row>
    <row r="16" spans="1:87">
      <c r="A16" s="12" t="str">
        <f>Roster!A16</f>
        <v/>
      </c>
      <c r="B16" s="28">
        <f>Roster!C16</f>
        <v>0</v>
      </c>
      <c r="C16" s="28" t="str">
        <f>IF(COUNTIFS(Table36103[[#This Row],[Continue Existing]:[Start New]], "TRUE")=0, "YES", "NO")</f>
        <v>YES</v>
      </c>
      <c r="D16" s="28" t="b">
        <f>COUNTIFS(Table36103[[#This Row],[Screening Results: Drug &amp; Alcohol Assessment 1]:[Other Reason 9]], "Continue with existing treatment services")&gt;0</f>
        <v>0</v>
      </c>
      <c r="E16" s="28" t="b">
        <f>COUNTIFS(Table36103[[#This Row],[Screening Results: Drug &amp; Alcohol Assessment 1]:[Other Reason 9]], "Start new service")&gt;0</f>
        <v>0</v>
      </c>
      <c r="F16" s="55"/>
      <c r="G16" s="56"/>
      <c r="H16" s="57"/>
      <c r="I16" s="57"/>
      <c r="J16" s="57"/>
      <c r="K16" s="57"/>
      <c r="L16" s="57"/>
      <c r="M16" s="57"/>
      <c r="N16" s="51"/>
      <c r="O16" s="58"/>
      <c r="P16" s="56"/>
      <c r="Q16" s="57"/>
      <c r="R16" s="57"/>
      <c r="S16" s="57"/>
      <c r="T16" s="57"/>
      <c r="U16" s="57"/>
      <c r="V16" s="57"/>
      <c r="W16" s="51"/>
      <c r="X16" s="65"/>
      <c r="Y16" s="56"/>
      <c r="Z16" s="57"/>
      <c r="AA16" s="57"/>
      <c r="AB16" s="57"/>
      <c r="AC16" s="57"/>
      <c r="AD16" s="57"/>
      <c r="AE16" s="57"/>
      <c r="AF16" s="51"/>
      <c r="AG16" s="65"/>
      <c r="AH16" s="56"/>
      <c r="AI16" s="57"/>
      <c r="AJ16" s="57"/>
      <c r="AK16" s="57"/>
      <c r="AL16" s="57"/>
      <c r="AM16" s="57"/>
      <c r="AN16" s="57"/>
      <c r="AO16" s="51"/>
      <c r="AP16" s="65"/>
      <c r="AQ16" s="56"/>
      <c r="AR16" s="57"/>
      <c r="AS16" s="57"/>
      <c r="AT16" s="57"/>
      <c r="AU16" s="57"/>
      <c r="AV16" s="57"/>
      <c r="AW16" s="57"/>
      <c r="AX16" s="51"/>
      <c r="AY16" s="65"/>
      <c r="AZ16" s="56"/>
      <c r="BA16" s="55"/>
      <c r="BB16" s="55"/>
      <c r="BC16" s="55"/>
      <c r="BD16" s="55"/>
      <c r="BE16" s="55"/>
      <c r="BF16" s="55"/>
      <c r="BG16" s="51"/>
      <c r="BH16" s="65"/>
      <c r="BI16" s="55"/>
      <c r="BJ16" s="55"/>
      <c r="BK16" s="55"/>
      <c r="BL16" s="55"/>
      <c r="BM16" s="55"/>
      <c r="BN16" s="55"/>
      <c r="BO16" s="55"/>
      <c r="BP16" s="66"/>
      <c r="BQ16" s="65"/>
      <c r="BR16" s="55"/>
      <c r="BS16" s="55"/>
      <c r="BT16" s="55"/>
      <c r="BU16" s="55"/>
      <c r="BV16" s="55"/>
      <c r="BW16" s="55"/>
      <c r="BX16" s="55"/>
      <c r="BY16" s="66"/>
      <c r="BZ16" s="65"/>
      <c r="CA16" s="55"/>
      <c r="CB16" s="55"/>
      <c r="CC16" s="55"/>
      <c r="CD16" s="55"/>
      <c r="CE16" s="55"/>
      <c r="CF16" s="55"/>
      <c r="CG16" s="55"/>
      <c r="CH16" s="55"/>
      <c r="CI16" s="55"/>
    </row>
    <row r="17" spans="1:87">
      <c r="A17" s="12" t="str">
        <f>Roster!A17</f>
        <v/>
      </c>
      <c r="B17" s="28">
        <f>Roster!C17</f>
        <v>0</v>
      </c>
      <c r="C17" s="28" t="str">
        <f>IF(COUNTIFS(Table36103[[#This Row],[Continue Existing]:[Start New]], "TRUE")=0, "YES", "NO")</f>
        <v>YES</v>
      </c>
      <c r="D17" s="28" t="b">
        <f>COUNTIFS(Table36103[[#This Row],[Screening Results: Drug &amp; Alcohol Assessment 1]:[Other Reason 9]], "Continue with existing treatment services")&gt;0</f>
        <v>0</v>
      </c>
      <c r="E17" s="28" t="b">
        <f>COUNTIFS(Table36103[[#This Row],[Screening Results: Drug &amp; Alcohol Assessment 1]:[Other Reason 9]], "Start new service")&gt;0</f>
        <v>0</v>
      </c>
      <c r="F17" s="55"/>
      <c r="G17" s="56"/>
      <c r="H17" s="57"/>
      <c r="I17" s="57"/>
      <c r="J17" s="57"/>
      <c r="K17" s="57"/>
      <c r="L17" s="57"/>
      <c r="M17" s="57"/>
      <c r="N17" s="51"/>
      <c r="O17" s="58"/>
      <c r="P17" s="56"/>
      <c r="Q17" s="57"/>
      <c r="R17" s="57"/>
      <c r="S17" s="57"/>
      <c r="T17" s="57"/>
      <c r="U17" s="57"/>
      <c r="V17" s="57"/>
      <c r="W17" s="51"/>
      <c r="X17" s="65"/>
      <c r="Y17" s="56"/>
      <c r="Z17" s="57"/>
      <c r="AA17" s="57"/>
      <c r="AB17" s="57"/>
      <c r="AC17" s="57"/>
      <c r="AD17" s="57"/>
      <c r="AE17" s="57"/>
      <c r="AF17" s="51"/>
      <c r="AG17" s="65"/>
      <c r="AH17" s="56"/>
      <c r="AI17" s="57"/>
      <c r="AJ17" s="57"/>
      <c r="AK17" s="57"/>
      <c r="AL17" s="57"/>
      <c r="AM17" s="57"/>
      <c r="AN17" s="57"/>
      <c r="AO17" s="51"/>
      <c r="AP17" s="65"/>
      <c r="AQ17" s="56"/>
      <c r="AR17" s="57"/>
      <c r="AS17" s="57"/>
      <c r="AT17" s="57"/>
      <c r="AU17" s="57"/>
      <c r="AV17" s="57"/>
      <c r="AW17" s="57"/>
      <c r="AX17" s="51"/>
      <c r="AY17" s="65"/>
      <c r="AZ17" s="56"/>
      <c r="BA17" s="55"/>
      <c r="BB17" s="55"/>
      <c r="BC17" s="55"/>
      <c r="BD17" s="55"/>
      <c r="BE17" s="55"/>
      <c r="BF17" s="55"/>
      <c r="BG17" s="51"/>
      <c r="BH17" s="65"/>
      <c r="BI17" s="55"/>
      <c r="BJ17" s="55"/>
      <c r="BK17" s="55"/>
      <c r="BL17" s="55"/>
      <c r="BM17" s="55"/>
      <c r="BN17" s="55"/>
      <c r="BO17" s="55"/>
      <c r="BP17" s="66"/>
      <c r="BQ17" s="65"/>
      <c r="BR17" s="55"/>
      <c r="BS17" s="55"/>
      <c r="BT17" s="55"/>
      <c r="BU17" s="55"/>
      <c r="BV17" s="55"/>
      <c r="BW17" s="55"/>
      <c r="BX17" s="55"/>
      <c r="BY17" s="66"/>
      <c r="BZ17" s="65"/>
      <c r="CA17" s="55"/>
      <c r="CB17" s="55"/>
      <c r="CC17" s="55"/>
      <c r="CD17" s="55"/>
      <c r="CE17" s="55"/>
      <c r="CF17" s="55"/>
      <c r="CG17" s="55"/>
      <c r="CH17" s="55"/>
      <c r="CI17" s="55"/>
    </row>
    <row r="18" spans="1:87">
      <c r="A18" s="12" t="str">
        <f>Roster!A18</f>
        <v/>
      </c>
      <c r="B18" s="28">
        <f>Roster!C18</f>
        <v>0</v>
      </c>
      <c r="C18" s="28" t="str">
        <f>IF(COUNTIFS(Table36103[[#This Row],[Continue Existing]:[Start New]], "TRUE")=0, "YES", "NO")</f>
        <v>YES</v>
      </c>
      <c r="D18" s="28" t="b">
        <f>COUNTIFS(Table36103[[#This Row],[Screening Results: Drug &amp; Alcohol Assessment 1]:[Other Reason 9]], "Continue with existing treatment services")&gt;0</f>
        <v>0</v>
      </c>
      <c r="E18" s="28" t="b">
        <f>COUNTIFS(Table36103[[#This Row],[Screening Results: Drug &amp; Alcohol Assessment 1]:[Other Reason 9]], "Start new service")&gt;0</f>
        <v>0</v>
      </c>
      <c r="F18" s="55"/>
      <c r="G18" s="56"/>
      <c r="H18" s="57"/>
      <c r="I18" s="57"/>
      <c r="J18" s="57"/>
      <c r="K18" s="57"/>
      <c r="L18" s="57"/>
      <c r="M18" s="57"/>
      <c r="N18" s="51"/>
      <c r="O18" s="58"/>
      <c r="P18" s="56"/>
      <c r="Q18" s="57"/>
      <c r="R18" s="57"/>
      <c r="S18" s="57"/>
      <c r="T18" s="57"/>
      <c r="U18" s="57"/>
      <c r="V18" s="57"/>
      <c r="W18" s="51"/>
      <c r="X18" s="65"/>
      <c r="Y18" s="56"/>
      <c r="Z18" s="57"/>
      <c r="AA18" s="57"/>
      <c r="AB18" s="57"/>
      <c r="AC18" s="57"/>
      <c r="AD18" s="57"/>
      <c r="AE18" s="57"/>
      <c r="AF18" s="51"/>
      <c r="AG18" s="65"/>
      <c r="AH18" s="56"/>
      <c r="AI18" s="57"/>
      <c r="AJ18" s="57"/>
      <c r="AK18" s="57"/>
      <c r="AL18" s="57"/>
      <c r="AM18" s="57"/>
      <c r="AN18" s="57"/>
      <c r="AO18" s="51"/>
      <c r="AP18" s="65"/>
      <c r="AQ18" s="56"/>
      <c r="AR18" s="57"/>
      <c r="AS18" s="57"/>
      <c r="AT18" s="57"/>
      <c r="AU18" s="57"/>
      <c r="AV18" s="57"/>
      <c r="AW18" s="57"/>
      <c r="AX18" s="51"/>
      <c r="AY18" s="65"/>
      <c r="AZ18" s="56"/>
      <c r="BA18" s="55"/>
      <c r="BB18" s="55"/>
      <c r="BC18" s="55"/>
      <c r="BD18" s="55"/>
      <c r="BE18" s="55"/>
      <c r="BF18" s="55"/>
      <c r="BG18" s="51"/>
      <c r="BH18" s="65"/>
      <c r="BI18" s="55"/>
      <c r="BJ18" s="55"/>
      <c r="BK18" s="55"/>
      <c r="BL18" s="55"/>
      <c r="BM18" s="55"/>
      <c r="BN18" s="55"/>
      <c r="BO18" s="55"/>
      <c r="BP18" s="66"/>
      <c r="BQ18" s="65"/>
      <c r="BR18" s="55"/>
      <c r="BS18" s="55"/>
      <c r="BT18" s="55"/>
      <c r="BU18" s="55"/>
      <c r="BV18" s="55"/>
      <c r="BW18" s="55"/>
      <c r="BX18" s="55"/>
      <c r="BY18" s="66"/>
      <c r="BZ18" s="65"/>
      <c r="CA18" s="55"/>
      <c r="CB18" s="55"/>
      <c r="CC18" s="55"/>
      <c r="CD18" s="55"/>
      <c r="CE18" s="55"/>
      <c r="CF18" s="55"/>
      <c r="CG18" s="55"/>
      <c r="CH18" s="55"/>
      <c r="CI18" s="55"/>
    </row>
    <row r="19" spans="1:87">
      <c r="A19" s="12" t="str">
        <f>Roster!A19</f>
        <v/>
      </c>
      <c r="B19" s="28">
        <f>Roster!C19</f>
        <v>0</v>
      </c>
      <c r="C19" s="28" t="str">
        <f>IF(COUNTIFS(Table36103[[#This Row],[Continue Existing]:[Start New]], "TRUE")=0, "YES", "NO")</f>
        <v>YES</v>
      </c>
      <c r="D19" s="28" t="b">
        <f>COUNTIFS(Table36103[[#This Row],[Screening Results: Drug &amp; Alcohol Assessment 1]:[Other Reason 9]], "Continue with existing treatment services")&gt;0</f>
        <v>0</v>
      </c>
      <c r="E19" s="28" t="b">
        <f>COUNTIFS(Table36103[[#This Row],[Screening Results: Drug &amp; Alcohol Assessment 1]:[Other Reason 9]], "Start new service")&gt;0</f>
        <v>0</v>
      </c>
      <c r="F19" s="55"/>
      <c r="G19" s="56"/>
      <c r="H19" s="57"/>
      <c r="I19" s="57"/>
      <c r="J19" s="57"/>
      <c r="K19" s="57"/>
      <c r="L19" s="57"/>
      <c r="M19" s="57"/>
      <c r="N19" s="51"/>
      <c r="O19" s="58"/>
      <c r="P19" s="56"/>
      <c r="Q19" s="57"/>
      <c r="R19" s="57"/>
      <c r="S19" s="57"/>
      <c r="T19" s="57"/>
      <c r="U19" s="57"/>
      <c r="V19" s="57"/>
      <c r="W19" s="51"/>
      <c r="X19" s="65"/>
      <c r="Y19" s="56"/>
      <c r="Z19" s="57"/>
      <c r="AA19" s="57"/>
      <c r="AB19" s="57"/>
      <c r="AC19" s="57"/>
      <c r="AD19" s="57"/>
      <c r="AE19" s="57"/>
      <c r="AF19" s="51"/>
      <c r="AG19" s="65"/>
      <c r="AH19" s="56"/>
      <c r="AI19" s="57"/>
      <c r="AJ19" s="57"/>
      <c r="AK19" s="57"/>
      <c r="AL19" s="57"/>
      <c r="AM19" s="57"/>
      <c r="AN19" s="57"/>
      <c r="AO19" s="51"/>
      <c r="AP19" s="65"/>
      <c r="AQ19" s="56"/>
      <c r="AR19" s="57"/>
      <c r="AS19" s="57"/>
      <c r="AT19" s="57"/>
      <c r="AU19" s="57"/>
      <c r="AV19" s="57"/>
      <c r="AW19" s="57"/>
      <c r="AX19" s="51"/>
      <c r="AY19" s="65"/>
      <c r="AZ19" s="56"/>
      <c r="BA19" s="55"/>
      <c r="BB19" s="55"/>
      <c r="BC19" s="55"/>
      <c r="BD19" s="55"/>
      <c r="BE19" s="55"/>
      <c r="BF19" s="55"/>
      <c r="BG19" s="51"/>
      <c r="BH19" s="65"/>
      <c r="BI19" s="55"/>
      <c r="BJ19" s="55"/>
      <c r="BK19" s="55"/>
      <c r="BL19" s="55"/>
      <c r="BM19" s="55"/>
      <c r="BN19" s="55"/>
      <c r="BO19" s="55"/>
      <c r="BP19" s="66"/>
      <c r="BQ19" s="65"/>
      <c r="BR19" s="55"/>
      <c r="BS19" s="55"/>
      <c r="BT19" s="55"/>
      <c r="BU19" s="55"/>
      <c r="BV19" s="55"/>
      <c r="BW19" s="55"/>
      <c r="BX19" s="55"/>
      <c r="BY19" s="66"/>
      <c r="BZ19" s="65"/>
      <c r="CA19" s="55"/>
      <c r="CB19" s="55"/>
      <c r="CC19" s="55"/>
      <c r="CD19" s="55"/>
      <c r="CE19" s="55"/>
      <c r="CF19" s="55"/>
      <c r="CG19" s="55"/>
      <c r="CH19" s="55"/>
      <c r="CI19" s="55"/>
    </row>
    <row r="20" spans="1:87">
      <c r="A20" s="12" t="str">
        <f>Roster!A20</f>
        <v/>
      </c>
      <c r="B20" s="28">
        <f>Roster!C20</f>
        <v>0</v>
      </c>
      <c r="C20" s="28" t="str">
        <f>IF(COUNTIFS(Table36103[[#This Row],[Continue Existing]:[Start New]], "TRUE")=0, "YES", "NO")</f>
        <v>YES</v>
      </c>
      <c r="D20" s="28" t="b">
        <f>COUNTIFS(Table36103[[#This Row],[Screening Results: Drug &amp; Alcohol Assessment 1]:[Other Reason 9]], "Continue with existing treatment services")&gt;0</f>
        <v>0</v>
      </c>
      <c r="E20" s="28" t="b">
        <f>COUNTIFS(Table36103[[#This Row],[Screening Results: Drug &amp; Alcohol Assessment 1]:[Other Reason 9]], "Start new service")&gt;0</f>
        <v>0</v>
      </c>
      <c r="F20" s="55"/>
      <c r="G20" s="56"/>
      <c r="H20" s="57"/>
      <c r="I20" s="57"/>
      <c r="J20" s="57"/>
      <c r="K20" s="57"/>
      <c r="L20" s="57"/>
      <c r="M20" s="57"/>
      <c r="N20" s="51"/>
      <c r="O20" s="58"/>
      <c r="P20" s="56"/>
      <c r="Q20" s="57"/>
      <c r="R20" s="57"/>
      <c r="S20" s="57"/>
      <c r="T20" s="57"/>
      <c r="U20" s="57"/>
      <c r="V20" s="57"/>
      <c r="W20" s="51"/>
      <c r="X20" s="65"/>
      <c r="Y20" s="56"/>
      <c r="Z20" s="57"/>
      <c r="AA20" s="57"/>
      <c r="AB20" s="57"/>
      <c r="AC20" s="57"/>
      <c r="AD20" s="57"/>
      <c r="AE20" s="57"/>
      <c r="AF20" s="51"/>
      <c r="AG20" s="65"/>
      <c r="AH20" s="56"/>
      <c r="AI20" s="57"/>
      <c r="AJ20" s="57"/>
      <c r="AK20" s="57"/>
      <c r="AL20" s="57"/>
      <c r="AM20" s="57"/>
      <c r="AN20" s="57"/>
      <c r="AO20" s="51"/>
      <c r="AP20" s="65"/>
      <c r="AQ20" s="56"/>
      <c r="AR20" s="57"/>
      <c r="AS20" s="57"/>
      <c r="AT20" s="57"/>
      <c r="AU20" s="57"/>
      <c r="AV20" s="57"/>
      <c r="AW20" s="57"/>
      <c r="AX20" s="51"/>
      <c r="AY20" s="65"/>
      <c r="AZ20" s="56"/>
      <c r="BA20" s="55"/>
      <c r="BB20" s="55"/>
      <c r="BC20" s="55"/>
      <c r="BD20" s="55"/>
      <c r="BE20" s="55"/>
      <c r="BF20" s="55"/>
      <c r="BG20" s="51"/>
      <c r="BH20" s="65"/>
      <c r="BI20" s="55"/>
      <c r="BJ20" s="55"/>
      <c r="BK20" s="55"/>
      <c r="BL20" s="55"/>
      <c r="BM20" s="55"/>
      <c r="BN20" s="55"/>
      <c r="BO20" s="55"/>
      <c r="BP20" s="66"/>
      <c r="BQ20" s="65"/>
      <c r="BR20" s="55"/>
      <c r="BS20" s="55"/>
      <c r="BT20" s="55"/>
      <c r="BU20" s="55"/>
      <c r="BV20" s="55"/>
      <c r="BW20" s="55"/>
      <c r="BX20" s="55"/>
      <c r="BY20" s="66"/>
      <c r="BZ20" s="65"/>
      <c r="CA20" s="55"/>
      <c r="CB20" s="55"/>
      <c r="CC20" s="55"/>
      <c r="CD20" s="55"/>
      <c r="CE20" s="55"/>
      <c r="CF20" s="55"/>
      <c r="CG20" s="55"/>
      <c r="CH20" s="55"/>
      <c r="CI20" s="55"/>
    </row>
    <row r="21" spans="1:87">
      <c r="A21" s="12" t="str">
        <f>Roster!A21</f>
        <v/>
      </c>
      <c r="B21" s="28">
        <f>Roster!C21</f>
        <v>0</v>
      </c>
      <c r="C21" s="28" t="str">
        <f>IF(COUNTIFS(Table36103[[#This Row],[Continue Existing]:[Start New]], "TRUE")=0, "YES", "NO")</f>
        <v>YES</v>
      </c>
      <c r="D21" s="28" t="b">
        <f>COUNTIFS(Table36103[[#This Row],[Screening Results: Drug &amp; Alcohol Assessment 1]:[Other Reason 9]], "Continue with existing treatment services")&gt;0</f>
        <v>0</v>
      </c>
      <c r="E21" s="28" t="b">
        <f>COUNTIFS(Table36103[[#This Row],[Screening Results: Drug &amp; Alcohol Assessment 1]:[Other Reason 9]], "Start new service")&gt;0</f>
        <v>0</v>
      </c>
      <c r="F21" s="55"/>
      <c r="G21" s="56"/>
      <c r="H21" s="57"/>
      <c r="I21" s="57"/>
      <c r="J21" s="57"/>
      <c r="K21" s="57"/>
      <c r="L21" s="57"/>
      <c r="M21" s="57"/>
      <c r="N21" s="51"/>
      <c r="O21" s="58"/>
      <c r="P21" s="56"/>
      <c r="Q21" s="57"/>
      <c r="R21" s="57"/>
      <c r="S21" s="57"/>
      <c r="T21" s="57"/>
      <c r="U21" s="57"/>
      <c r="V21" s="57"/>
      <c r="W21" s="51"/>
      <c r="X21" s="65"/>
      <c r="Y21" s="56"/>
      <c r="Z21" s="57"/>
      <c r="AA21" s="57"/>
      <c r="AB21" s="57"/>
      <c r="AC21" s="57"/>
      <c r="AD21" s="57"/>
      <c r="AE21" s="57"/>
      <c r="AF21" s="51"/>
      <c r="AG21" s="65"/>
      <c r="AH21" s="56"/>
      <c r="AI21" s="57"/>
      <c r="AJ21" s="57"/>
      <c r="AK21" s="57"/>
      <c r="AL21" s="57"/>
      <c r="AM21" s="57"/>
      <c r="AN21" s="57"/>
      <c r="AO21" s="51"/>
      <c r="AP21" s="65"/>
      <c r="AQ21" s="56"/>
      <c r="AR21" s="57"/>
      <c r="AS21" s="57"/>
      <c r="AT21" s="57"/>
      <c r="AU21" s="57"/>
      <c r="AV21" s="57"/>
      <c r="AW21" s="57"/>
      <c r="AX21" s="51"/>
      <c r="AY21" s="65"/>
      <c r="AZ21" s="56"/>
      <c r="BA21" s="55"/>
      <c r="BB21" s="55"/>
      <c r="BC21" s="55"/>
      <c r="BD21" s="55"/>
      <c r="BE21" s="55"/>
      <c r="BF21" s="55"/>
      <c r="BG21" s="51"/>
      <c r="BH21" s="65"/>
      <c r="BI21" s="55"/>
      <c r="BJ21" s="55"/>
      <c r="BK21" s="55"/>
      <c r="BL21" s="55"/>
      <c r="BM21" s="55"/>
      <c r="BN21" s="55"/>
      <c r="BO21" s="55"/>
      <c r="BP21" s="66"/>
      <c r="BQ21" s="65"/>
      <c r="BR21" s="55"/>
      <c r="BS21" s="55"/>
      <c r="BT21" s="55"/>
      <c r="BU21" s="55"/>
      <c r="BV21" s="55"/>
      <c r="BW21" s="55"/>
      <c r="BX21" s="55"/>
      <c r="BY21" s="66"/>
      <c r="BZ21" s="65"/>
      <c r="CA21" s="55"/>
      <c r="CB21" s="55"/>
      <c r="CC21" s="55"/>
      <c r="CD21" s="55"/>
      <c r="CE21" s="55"/>
      <c r="CF21" s="55"/>
      <c r="CG21" s="55"/>
      <c r="CH21" s="55"/>
      <c r="CI21" s="55"/>
    </row>
    <row r="22" spans="1:87">
      <c r="A22" s="12" t="str">
        <f>Roster!A22</f>
        <v/>
      </c>
      <c r="B22" s="28">
        <f>Roster!C22</f>
        <v>0</v>
      </c>
      <c r="C22" s="28" t="str">
        <f>IF(COUNTIFS(Table36103[[#This Row],[Continue Existing]:[Start New]], "TRUE")=0, "YES", "NO")</f>
        <v>YES</v>
      </c>
      <c r="D22" s="28" t="b">
        <f>COUNTIFS(Table36103[[#This Row],[Screening Results: Drug &amp; Alcohol Assessment 1]:[Other Reason 9]], "Continue with existing treatment services")&gt;0</f>
        <v>0</v>
      </c>
      <c r="E22" s="28" t="b">
        <f>COUNTIFS(Table36103[[#This Row],[Screening Results: Drug &amp; Alcohol Assessment 1]:[Other Reason 9]], "Start new service")&gt;0</f>
        <v>0</v>
      </c>
      <c r="F22" s="55"/>
      <c r="G22" s="56"/>
      <c r="H22" s="57"/>
      <c r="I22" s="57"/>
      <c r="J22" s="57"/>
      <c r="K22" s="57"/>
      <c r="L22" s="57"/>
      <c r="M22" s="57"/>
      <c r="N22" s="51"/>
      <c r="O22" s="58"/>
      <c r="P22" s="56"/>
      <c r="Q22" s="57"/>
      <c r="R22" s="57"/>
      <c r="S22" s="57"/>
      <c r="T22" s="57"/>
      <c r="U22" s="57"/>
      <c r="V22" s="57"/>
      <c r="W22" s="51"/>
      <c r="X22" s="65"/>
      <c r="Y22" s="56"/>
      <c r="Z22" s="57"/>
      <c r="AA22" s="57"/>
      <c r="AB22" s="57"/>
      <c r="AC22" s="57"/>
      <c r="AD22" s="57"/>
      <c r="AE22" s="57"/>
      <c r="AF22" s="51"/>
      <c r="AG22" s="65"/>
      <c r="AH22" s="56"/>
      <c r="AI22" s="57"/>
      <c r="AJ22" s="57"/>
      <c r="AK22" s="57"/>
      <c r="AL22" s="57"/>
      <c r="AM22" s="57"/>
      <c r="AN22" s="57"/>
      <c r="AO22" s="51"/>
      <c r="AP22" s="65"/>
      <c r="AQ22" s="56"/>
      <c r="AR22" s="57"/>
      <c r="AS22" s="57"/>
      <c r="AT22" s="57"/>
      <c r="AU22" s="57"/>
      <c r="AV22" s="57"/>
      <c r="AW22" s="57"/>
      <c r="AX22" s="51"/>
      <c r="AY22" s="65"/>
      <c r="AZ22" s="56"/>
      <c r="BA22" s="55"/>
      <c r="BB22" s="55"/>
      <c r="BC22" s="55"/>
      <c r="BD22" s="55"/>
      <c r="BE22" s="55"/>
      <c r="BF22" s="55"/>
      <c r="BG22" s="51"/>
      <c r="BH22" s="65"/>
      <c r="BI22" s="55"/>
      <c r="BJ22" s="55"/>
      <c r="BK22" s="55"/>
      <c r="BL22" s="55"/>
      <c r="BM22" s="55"/>
      <c r="BN22" s="55"/>
      <c r="BO22" s="55"/>
      <c r="BP22" s="66"/>
      <c r="BQ22" s="65"/>
      <c r="BR22" s="55"/>
      <c r="BS22" s="55"/>
      <c r="BT22" s="55"/>
      <c r="BU22" s="55"/>
      <c r="BV22" s="55"/>
      <c r="BW22" s="55"/>
      <c r="BX22" s="55"/>
      <c r="BY22" s="66"/>
      <c r="BZ22" s="65"/>
      <c r="CA22" s="55"/>
      <c r="CB22" s="55"/>
      <c r="CC22" s="55"/>
      <c r="CD22" s="55"/>
      <c r="CE22" s="55"/>
      <c r="CF22" s="55"/>
      <c r="CG22" s="55"/>
      <c r="CH22" s="55"/>
      <c r="CI22" s="55"/>
    </row>
    <row r="23" spans="1:87">
      <c r="A23" s="12" t="str">
        <f>Roster!A23</f>
        <v/>
      </c>
      <c r="B23" s="28">
        <f>Roster!C23</f>
        <v>0</v>
      </c>
      <c r="C23" s="28" t="str">
        <f>IF(COUNTIFS(Table36103[[#This Row],[Continue Existing]:[Start New]], "TRUE")=0, "YES", "NO")</f>
        <v>YES</v>
      </c>
      <c r="D23" s="28" t="b">
        <f>COUNTIFS(Table36103[[#This Row],[Screening Results: Drug &amp; Alcohol Assessment 1]:[Other Reason 9]], "Continue with existing treatment services")&gt;0</f>
        <v>0</v>
      </c>
      <c r="E23" s="28" t="b">
        <f>COUNTIFS(Table36103[[#This Row],[Screening Results: Drug &amp; Alcohol Assessment 1]:[Other Reason 9]], "Start new service")&gt;0</f>
        <v>0</v>
      </c>
      <c r="F23" s="55"/>
      <c r="G23" s="56"/>
      <c r="H23" s="57"/>
      <c r="I23" s="57"/>
      <c r="J23" s="57"/>
      <c r="K23" s="57"/>
      <c r="L23" s="57"/>
      <c r="M23" s="57"/>
      <c r="N23" s="51"/>
      <c r="O23" s="58"/>
      <c r="P23" s="56"/>
      <c r="Q23" s="57"/>
      <c r="R23" s="57"/>
      <c r="S23" s="57"/>
      <c r="T23" s="57"/>
      <c r="U23" s="57"/>
      <c r="V23" s="57"/>
      <c r="W23" s="51"/>
      <c r="X23" s="65"/>
      <c r="Y23" s="56"/>
      <c r="Z23" s="57"/>
      <c r="AA23" s="57"/>
      <c r="AB23" s="57"/>
      <c r="AC23" s="57"/>
      <c r="AD23" s="57"/>
      <c r="AE23" s="57"/>
      <c r="AF23" s="51"/>
      <c r="AG23" s="65"/>
      <c r="AH23" s="56"/>
      <c r="AI23" s="57"/>
      <c r="AJ23" s="57"/>
      <c r="AK23" s="57"/>
      <c r="AL23" s="57"/>
      <c r="AM23" s="57"/>
      <c r="AN23" s="57"/>
      <c r="AO23" s="51"/>
      <c r="AP23" s="65"/>
      <c r="AQ23" s="56"/>
      <c r="AR23" s="57"/>
      <c r="AS23" s="57"/>
      <c r="AT23" s="57"/>
      <c r="AU23" s="57"/>
      <c r="AV23" s="57"/>
      <c r="AW23" s="57"/>
      <c r="AX23" s="51"/>
      <c r="AY23" s="65"/>
      <c r="AZ23" s="56"/>
      <c r="BA23" s="55"/>
      <c r="BB23" s="55"/>
      <c r="BC23" s="55"/>
      <c r="BD23" s="55"/>
      <c r="BE23" s="55"/>
      <c r="BF23" s="55"/>
      <c r="BG23" s="51"/>
      <c r="BH23" s="65"/>
      <c r="BI23" s="55"/>
      <c r="BJ23" s="55"/>
      <c r="BK23" s="55"/>
      <c r="BL23" s="55"/>
      <c r="BM23" s="55"/>
      <c r="BN23" s="55"/>
      <c r="BO23" s="55"/>
      <c r="BP23" s="66"/>
      <c r="BQ23" s="65"/>
      <c r="BR23" s="55"/>
      <c r="BS23" s="55"/>
      <c r="BT23" s="55"/>
      <c r="BU23" s="55"/>
      <c r="BV23" s="55"/>
      <c r="BW23" s="55"/>
      <c r="BX23" s="55"/>
      <c r="BY23" s="66"/>
      <c r="BZ23" s="65"/>
      <c r="CA23" s="55"/>
      <c r="CB23" s="55"/>
      <c r="CC23" s="55"/>
      <c r="CD23" s="55"/>
      <c r="CE23" s="55"/>
      <c r="CF23" s="55"/>
      <c r="CG23" s="55"/>
      <c r="CH23" s="55"/>
      <c r="CI23" s="55"/>
    </row>
    <row r="24" spans="1:87">
      <c r="A24" s="12" t="str">
        <f>Roster!A24</f>
        <v/>
      </c>
      <c r="B24" s="28">
        <f>Roster!C24</f>
        <v>0</v>
      </c>
      <c r="C24" s="28" t="str">
        <f>IF(COUNTIFS(Table36103[[#This Row],[Continue Existing]:[Start New]], "TRUE")=0, "YES", "NO")</f>
        <v>YES</v>
      </c>
      <c r="D24" s="28" t="b">
        <f>COUNTIFS(Table36103[[#This Row],[Screening Results: Drug &amp; Alcohol Assessment 1]:[Other Reason 9]], "Continue with existing treatment services")&gt;0</f>
        <v>0</v>
      </c>
      <c r="E24" s="28" t="b">
        <f>COUNTIFS(Table36103[[#This Row],[Screening Results: Drug &amp; Alcohol Assessment 1]:[Other Reason 9]], "Start new service")&gt;0</f>
        <v>0</v>
      </c>
      <c r="F24" s="55"/>
      <c r="G24" s="56"/>
      <c r="H24" s="57"/>
      <c r="I24" s="57"/>
      <c r="J24" s="57"/>
      <c r="K24" s="57"/>
      <c r="L24" s="57"/>
      <c r="M24" s="57"/>
      <c r="N24" s="51"/>
      <c r="O24" s="58"/>
      <c r="P24" s="56"/>
      <c r="Q24" s="57"/>
      <c r="R24" s="57"/>
      <c r="S24" s="57"/>
      <c r="T24" s="57"/>
      <c r="U24" s="57"/>
      <c r="V24" s="57"/>
      <c r="W24" s="51"/>
      <c r="X24" s="65"/>
      <c r="Y24" s="56"/>
      <c r="Z24" s="57"/>
      <c r="AA24" s="57"/>
      <c r="AB24" s="57"/>
      <c r="AC24" s="57"/>
      <c r="AD24" s="57"/>
      <c r="AE24" s="57"/>
      <c r="AF24" s="51"/>
      <c r="AG24" s="65"/>
      <c r="AH24" s="56"/>
      <c r="AI24" s="57"/>
      <c r="AJ24" s="57"/>
      <c r="AK24" s="57"/>
      <c r="AL24" s="57"/>
      <c r="AM24" s="57"/>
      <c r="AN24" s="57"/>
      <c r="AO24" s="51"/>
      <c r="AP24" s="65"/>
      <c r="AQ24" s="56"/>
      <c r="AR24" s="57"/>
      <c r="AS24" s="57"/>
      <c r="AT24" s="57"/>
      <c r="AU24" s="57"/>
      <c r="AV24" s="57"/>
      <c r="AW24" s="57"/>
      <c r="AX24" s="51"/>
      <c r="AY24" s="65"/>
      <c r="AZ24" s="56"/>
      <c r="BA24" s="55"/>
      <c r="BB24" s="55"/>
      <c r="BC24" s="55"/>
      <c r="BD24" s="55"/>
      <c r="BE24" s="55"/>
      <c r="BF24" s="55"/>
      <c r="BG24" s="51"/>
      <c r="BH24" s="65"/>
      <c r="BI24" s="55"/>
      <c r="BJ24" s="55"/>
      <c r="BK24" s="55"/>
      <c r="BL24" s="55"/>
      <c r="BM24" s="55"/>
      <c r="BN24" s="55"/>
      <c r="BO24" s="55"/>
      <c r="BP24" s="66"/>
      <c r="BQ24" s="65"/>
      <c r="BR24" s="55"/>
      <c r="BS24" s="55"/>
      <c r="BT24" s="55"/>
      <c r="BU24" s="55"/>
      <c r="BV24" s="55"/>
      <c r="BW24" s="55"/>
      <c r="BX24" s="55"/>
      <c r="BY24" s="66"/>
      <c r="BZ24" s="65"/>
      <c r="CA24" s="55"/>
      <c r="CB24" s="55"/>
      <c r="CC24" s="55"/>
      <c r="CD24" s="55"/>
      <c r="CE24" s="55"/>
      <c r="CF24" s="55"/>
      <c r="CG24" s="55"/>
      <c r="CH24" s="55"/>
      <c r="CI24" s="55"/>
    </row>
    <row r="25" spans="1:87">
      <c r="A25" s="12" t="str">
        <f>Roster!A25</f>
        <v/>
      </c>
      <c r="B25" s="28">
        <f>Roster!C25</f>
        <v>0</v>
      </c>
      <c r="C25" s="28" t="str">
        <f>IF(COUNTIFS(Table36103[[#This Row],[Continue Existing]:[Start New]], "TRUE")=0, "YES", "NO")</f>
        <v>YES</v>
      </c>
      <c r="D25" s="28" t="b">
        <f>COUNTIFS(Table36103[[#This Row],[Screening Results: Drug &amp; Alcohol Assessment 1]:[Other Reason 9]], "Continue with existing treatment services")&gt;0</f>
        <v>0</v>
      </c>
      <c r="E25" s="28" t="b">
        <f>COUNTIFS(Table36103[[#This Row],[Screening Results: Drug &amp; Alcohol Assessment 1]:[Other Reason 9]], "Start new service")&gt;0</f>
        <v>0</v>
      </c>
      <c r="F25" s="55"/>
      <c r="G25" s="56"/>
      <c r="H25" s="57"/>
      <c r="I25" s="57"/>
      <c r="J25" s="57"/>
      <c r="K25" s="57"/>
      <c r="L25" s="57"/>
      <c r="M25" s="57"/>
      <c r="N25" s="51"/>
      <c r="O25" s="58"/>
      <c r="P25" s="56"/>
      <c r="Q25" s="57"/>
      <c r="R25" s="57"/>
      <c r="S25" s="57"/>
      <c r="T25" s="57"/>
      <c r="U25" s="57"/>
      <c r="V25" s="57"/>
      <c r="W25" s="51"/>
      <c r="X25" s="65"/>
      <c r="Y25" s="56"/>
      <c r="Z25" s="57"/>
      <c r="AA25" s="57"/>
      <c r="AB25" s="57"/>
      <c r="AC25" s="57"/>
      <c r="AD25" s="57"/>
      <c r="AE25" s="57"/>
      <c r="AF25" s="51"/>
      <c r="AG25" s="65"/>
      <c r="AH25" s="56"/>
      <c r="AI25" s="57"/>
      <c r="AJ25" s="57"/>
      <c r="AK25" s="57"/>
      <c r="AL25" s="57"/>
      <c r="AM25" s="57"/>
      <c r="AN25" s="57"/>
      <c r="AO25" s="51"/>
      <c r="AP25" s="65"/>
      <c r="AQ25" s="56"/>
      <c r="AR25" s="57"/>
      <c r="AS25" s="57"/>
      <c r="AT25" s="57"/>
      <c r="AU25" s="57"/>
      <c r="AV25" s="57"/>
      <c r="AW25" s="57"/>
      <c r="AX25" s="51"/>
      <c r="AY25" s="65"/>
      <c r="AZ25" s="56"/>
      <c r="BA25" s="55"/>
      <c r="BB25" s="55"/>
      <c r="BC25" s="55"/>
      <c r="BD25" s="55"/>
      <c r="BE25" s="55"/>
      <c r="BF25" s="55"/>
      <c r="BG25" s="51"/>
      <c r="BH25" s="65"/>
      <c r="BI25" s="55"/>
      <c r="BJ25" s="55"/>
      <c r="BK25" s="55"/>
      <c r="BL25" s="55"/>
      <c r="BM25" s="55"/>
      <c r="BN25" s="55"/>
      <c r="BO25" s="55"/>
      <c r="BP25" s="66"/>
      <c r="BQ25" s="65"/>
      <c r="BR25" s="55"/>
      <c r="BS25" s="55"/>
      <c r="BT25" s="55"/>
      <c r="BU25" s="55"/>
      <c r="BV25" s="55"/>
      <c r="BW25" s="55"/>
      <c r="BX25" s="55"/>
      <c r="BY25" s="66"/>
      <c r="BZ25" s="65"/>
      <c r="CA25" s="55"/>
      <c r="CB25" s="55"/>
      <c r="CC25" s="55"/>
      <c r="CD25" s="55"/>
      <c r="CE25" s="55"/>
      <c r="CF25" s="55"/>
      <c r="CG25" s="55"/>
      <c r="CH25" s="55"/>
      <c r="CI25" s="55"/>
    </row>
    <row r="26" spans="1:87">
      <c r="A26" s="12" t="str">
        <f>Roster!A26</f>
        <v/>
      </c>
      <c r="B26" s="28">
        <f>Roster!C26</f>
        <v>0</v>
      </c>
      <c r="C26" s="28" t="str">
        <f>IF(COUNTIFS(Table36103[[#This Row],[Continue Existing]:[Start New]], "TRUE")=0, "YES", "NO")</f>
        <v>YES</v>
      </c>
      <c r="D26" s="28" t="b">
        <f>COUNTIFS(Table36103[[#This Row],[Screening Results: Drug &amp; Alcohol Assessment 1]:[Other Reason 9]], "Continue with existing treatment services")&gt;0</f>
        <v>0</v>
      </c>
      <c r="E26" s="28" t="b">
        <f>COUNTIFS(Table36103[[#This Row],[Screening Results: Drug &amp; Alcohol Assessment 1]:[Other Reason 9]], "Start new service")&gt;0</f>
        <v>0</v>
      </c>
      <c r="F26" s="55"/>
      <c r="G26" s="56"/>
      <c r="H26" s="57"/>
      <c r="I26" s="57"/>
      <c r="J26" s="57"/>
      <c r="K26" s="57"/>
      <c r="L26" s="57"/>
      <c r="M26" s="57"/>
      <c r="N26" s="51"/>
      <c r="O26" s="58"/>
      <c r="P26" s="56"/>
      <c r="Q26" s="57"/>
      <c r="R26" s="57"/>
      <c r="S26" s="57"/>
      <c r="T26" s="57"/>
      <c r="U26" s="57"/>
      <c r="V26" s="57"/>
      <c r="W26" s="51"/>
      <c r="X26" s="65"/>
      <c r="Y26" s="56"/>
      <c r="Z26" s="57"/>
      <c r="AA26" s="57"/>
      <c r="AB26" s="57"/>
      <c r="AC26" s="57"/>
      <c r="AD26" s="57"/>
      <c r="AE26" s="57"/>
      <c r="AF26" s="51"/>
      <c r="AG26" s="65"/>
      <c r="AH26" s="56"/>
      <c r="AI26" s="57"/>
      <c r="AJ26" s="57"/>
      <c r="AK26" s="57"/>
      <c r="AL26" s="57"/>
      <c r="AM26" s="57"/>
      <c r="AN26" s="57"/>
      <c r="AO26" s="51"/>
      <c r="AP26" s="65"/>
      <c r="AQ26" s="56"/>
      <c r="AR26" s="57"/>
      <c r="AS26" s="57"/>
      <c r="AT26" s="57"/>
      <c r="AU26" s="57"/>
      <c r="AV26" s="57"/>
      <c r="AW26" s="57"/>
      <c r="AX26" s="51"/>
      <c r="AY26" s="65"/>
      <c r="AZ26" s="56"/>
      <c r="BA26" s="55"/>
      <c r="BB26" s="55"/>
      <c r="BC26" s="55"/>
      <c r="BD26" s="55"/>
      <c r="BE26" s="55"/>
      <c r="BF26" s="55"/>
      <c r="BG26" s="51"/>
      <c r="BH26" s="65"/>
      <c r="BI26" s="55"/>
      <c r="BJ26" s="55"/>
      <c r="BK26" s="55"/>
      <c r="BL26" s="55"/>
      <c r="BM26" s="55"/>
      <c r="BN26" s="55"/>
      <c r="BO26" s="55"/>
      <c r="BP26" s="66"/>
      <c r="BQ26" s="65"/>
      <c r="BR26" s="55"/>
      <c r="BS26" s="55"/>
      <c r="BT26" s="55"/>
      <c r="BU26" s="55"/>
      <c r="BV26" s="55"/>
      <c r="BW26" s="55"/>
      <c r="BX26" s="55"/>
      <c r="BY26" s="66"/>
      <c r="BZ26" s="65"/>
      <c r="CA26" s="55"/>
      <c r="CB26" s="55"/>
      <c r="CC26" s="55"/>
      <c r="CD26" s="55"/>
      <c r="CE26" s="55"/>
      <c r="CF26" s="55"/>
      <c r="CG26" s="55"/>
      <c r="CH26" s="55"/>
      <c r="CI26" s="55"/>
    </row>
    <row r="27" spans="1:87">
      <c r="A27" s="12" t="str">
        <f>Roster!A27</f>
        <v/>
      </c>
      <c r="B27" s="28">
        <f>Roster!C27</f>
        <v>0</v>
      </c>
      <c r="C27" s="28" t="str">
        <f>IF(COUNTIFS(Table36103[[#This Row],[Continue Existing]:[Start New]], "TRUE")=0, "YES", "NO")</f>
        <v>YES</v>
      </c>
      <c r="D27" s="28" t="b">
        <f>COUNTIFS(Table36103[[#This Row],[Screening Results: Drug &amp; Alcohol Assessment 1]:[Other Reason 9]], "Continue with existing treatment services")&gt;0</f>
        <v>0</v>
      </c>
      <c r="E27" s="28" t="b">
        <f>COUNTIFS(Table36103[[#This Row],[Screening Results: Drug &amp; Alcohol Assessment 1]:[Other Reason 9]], "Start new service")&gt;0</f>
        <v>0</v>
      </c>
      <c r="F27" s="55"/>
      <c r="G27" s="56"/>
      <c r="H27" s="57"/>
      <c r="I27" s="57"/>
      <c r="J27" s="57"/>
      <c r="K27" s="57"/>
      <c r="L27" s="57"/>
      <c r="M27" s="57"/>
      <c r="N27" s="51"/>
      <c r="O27" s="58"/>
      <c r="P27" s="56"/>
      <c r="Q27" s="57"/>
      <c r="R27" s="57"/>
      <c r="S27" s="57"/>
      <c r="T27" s="57"/>
      <c r="U27" s="57"/>
      <c r="V27" s="57"/>
      <c r="W27" s="51"/>
      <c r="X27" s="65"/>
      <c r="Y27" s="56"/>
      <c r="Z27" s="57"/>
      <c r="AA27" s="57"/>
      <c r="AB27" s="57"/>
      <c r="AC27" s="57"/>
      <c r="AD27" s="57"/>
      <c r="AE27" s="57"/>
      <c r="AF27" s="51"/>
      <c r="AG27" s="65"/>
      <c r="AH27" s="56"/>
      <c r="AI27" s="57"/>
      <c r="AJ27" s="57"/>
      <c r="AK27" s="57"/>
      <c r="AL27" s="57"/>
      <c r="AM27" s="57"/>
      <c r="AN27" s="57"/>
      <c r="AO27" s="51"/>
      <c r="AP27" s="65"/>
      <c r="AQ27" s="56"/>
      <c r="AR27" s="57"/>
      <c r="AS27" s="57"/>
      <c r="AT27" s="57"/>
      <c r="AU27" s="57"/>
      <c r="AV27" s="57"/>
      <c r="AW27" s="57"/>
      <c r="AX27" s="51"/>
      <c r="AY27" s="65"/>
      <c r="AZ27" s="56"/>
      <c r="BA27" s="55"/>
      <c r="BB27" s="55"/>
      <c r="BC27" s="55"/>
      <c r="BD27" s="55"/>
      <c r="BE27" s="55"/>
      <c r="BF27" s="55"/>
      <c r="BG27" s="51"/>
      <c r="BH27" s="65"/>
      <c r="BI27" s="55"/>
      <c r="BJ27" s="55"/>
      <c r="BK27" s="55"/>
      <c r="BL27" s="55"/>
      <c r="BM27" s="55"/>
      <c r="BN27" s="55"/>
      <c r="BO27" s="55"/>
      <c r="BP27" s="66"/>
      <c r="BQ27" s="65"/>
      <c r="BR27" s="55"/>
      <c r="BS27" s="55"/>
      <c r="BT27" s="55"/>
      <c r="BU27" s="55"/>
      <c r="BV27" s="55"/>
      <c r="BW27" s="55"/>
      <c r="BX27" s="55"/>
      <c r="BY27" s="66"/>
      <c r="BZ27" s="65"/>
      <c r="CA27" s="55"/>
      <c r="CB27" s="55"/>
      <c r="CC27" s="55"/>
      <c r="CD27" s="55"/>
      <c r="CE27" s="55"/>
      <c r="CF27" s="55"/>
      <c r="CG27" s="55"/>
      <c r="CH27" s="55"/>
      <c r="CI27" s="55"/>
    </row>
    <row r="28" spans="1:87">
      <c r="A28" s="12" t="str">
        <f>Roster!A28</f>
        <v/>
      </c>
      <c r="B28" s="28">
        <f>Roster!C28</f>
        <v>0</v>
      </c>
      <c r="C28" s="28" t="str">
        <f>IF(COUNTIFS(Table36103[[#This Row],[Continue Existing]:[Start New]], "TRUE")=0, "YES", "NO")</f>
        <v>YES</v>
      </c>
      <c r="D28" s="28" t="b">
        <f>COUNTIFS(Table36103[[#This Row],[Screening Results: Drug &amp; Alcohol Assessment 1]:[Other Reason 9]], "Continue with existing treatment services")&gt;0</f>
        <v>0</v>
      </c>
      <c r="E28" s="28" t="b">
        <f>COUNTIFS(Table36103[[#This Row],[Screening Results: Drug &amp; Alcohol Assessment 1]:[Other Reason 9]], "Start new service")&gt;0</f>
        <v>0</v>
      </c>
      <c r="F28" s="55"/>
      <c r="G28" s="56"/>
      <c r="H28" s="57"/>
      <c r="I28" s="57"/>
      <c r="J28" s="57"/>
      <c r="K28" s="57"/>
      <c r="L28" s="57"/>
      <c r="M28" s="57"/>
      <c r="N28" s="51"/>
      <c r="O28" s="58"/>
      <c r="P28" s="56"/>
      <c r="Q28" s="57"/>
      <c r="R28" s="57"/>
      <c r="S28" s="57"/>
      <c r="T28" s="57"/>
      <c r="U28" s="57"/>
      <c r="V28" s="57"/>
      <c r="W28" s="51"/>
      <c r="X28" s="65"/>
      <c r="Y28" s="56"/>
      <c r="Z28" s="57"/>
      <c r="AA28" s="57"/>
      <c r="AB28" s="57"/>
      <c r="AC28" s="57"/>
      <c r="AD28" s="57"/>
      <c r="AE28" s="57"/>
      <c r="AF28" s="51"/>
      <c r="AG28" s="65"/>
      <c r="AH28" s="56"/>
      <c r="AI28" s="57"/>
      <c r="AJ28" s="57"/>
      <c r="AK28" s="57"/>
      <c r="AL28" s="57"/>
      <c r="AM28" s="57"/>
      <c r="AN28" s="57"/>
      <c r="AO28" s="51"/>
      <c r="AP28" s="65"/>
      <c r="AQ28" s="56"/>
      <c r="AR28" s="57"/>
      <c r="AS28" s="57"/>
      <c r="AT28" s="57"/>
      <c r="AU28" s="57"/>
      <c r="AV28" s="57"/>
      <c r="AW28" s="57"/>
      <c r="AX28" s="51"/>
      <c r="AY28" s="65"/>
      <c r="AZ28" s="56"/>
      <c r="BA28" s="55"/>
      <c r="BB28" s="55"/>
      <c r="BC28" s="55"/>
      <c r="BD28" s="55"/>
      <c r="BE28" s="55"/>
      <c r="BF28" s="55"/>
      <c r="BG28" s="51"/>
      <c r="BH28" s="65"/>
      <c r="BI28" s="55"/>
      <c r="BJ28" s="55"/>
      <c r="BK28" s="55"/>
      <c r="BL28" s="55"/>
      <c r="BM28" s="55"/>
      <c r="BN28" s="55"/>
      <c r="BO28" s="55"/>
      <c r="BP28" s="66"/>
      <c r="BQ28" s="65"/>
      <c r="BR28" s="55"/>
      <c r="BS28" s="55"/>
      <c r="BT28" s="55"/>
      <c r="BU28" s="55"/>
      <c r="BV28" s="55"/>
      <c r="BW28" s="55"/>
      <c r="BX28" s="55"/>
      <c r="BY28" s="66"/>
      <c r="BZ28" s="65"/>
      <c r="CA28" s="55"/>
      <c r="CB28" s="55"/>
      <c r="CC28" s="55"/>
      <c r="CD28" s="55"/>
      <c r="CE28" s="55"/>
      <c r="CF28" s="55"/>
      <c r="CG28" s="55"/>
      <c r="CH28" s="55"/>
      <c r="CI28" s="55"/>
    </row>
    <row r="29" spans="1:87">
      <c r="A29" s="12" t="str">
        <f>Roster!A29</f>
        <v/>
      </c>
      <c r="B29" s="28">
        <f>Roster!C29</f>
        <v>0</v>
      </c>
      <c r="C29" s="28" t="str">
        <f>IF(COUNTIFS(Table36103[[#This Row],[Continue Existing]:[Start New]], "TRUE")=0, "YES", "NO")</f>
        <v>YES</v>
      </c>
      <c r="D29" s="28" t="b">
        <f>COUNTIFS(Table36103[[#This Row],[Screening Results: Drug &amp; Alcohol Assessment 1]:[Other Reason 9]], "Continue with existing treatment services")&gt;0</f>
        <v>0</v>
      </c>
      <c r="E29" s="28" t="b">
        <f>COUNTIFS(Table36103[[#This Row],[Screening Results: Drug &amp; Alcohol Assessment 1]:[Other Reason 9]], "Start new service")&gt;0</f>
        <v>0</v>
      </c>
      <c r="F29" s="55"/>
      <c r="G29" s="56"/>
      <c r="H29" s="57"/>
      <c r="I29" s="57"/>
      <c r="J29" s="57"/>
      <c r="K29" s="57"/>
      <c r="L29" s="57"/>
      <c r="M29" s="57"/>
      <c r="N29" s="51"/>
      <c r="O29" s="58"/>
      <c r="P29" s="56"/>
      <c r="Q29" s="57"/>
      <c r="R29" s="57"/>
      <c r="S29" s="57"/>
      <c r="T29" s="57"/>
      <c r="U29" s="57"/>
      <c r="V29" s="57"/>
      <c r="W29" s="51"/>
      <c r="X29" s="65"/>
      <c r="Y29" s="56"/>
      <c r="Z29" s="57"/>
      <c r="AA29" s="57"/>
      <c r="AB29" s="57"/>
      <c r="AC29" s="57"/>
      <c r="AD29" s="57"/>
      <c r="AE29" s="57"/>
      <c r="AF29" s="51"/>
      <c r="AG29" s="65"/>
      <c r="AH29" s="56"/>
      <c r="AI29" s="57"/>
      <c r="AJ29" s="57"/>
      <c r="AK29" s="57"/>
      <c r="AL29" s="57"/>
      <c r="AM29" s="57"/>
      <c r="AN29" s="57"/>
      <c r="AO29" s="51"/>
      <c r="AP29" s="65"/>
      <c r="AQ29" s="56"/>
      <c r="AR29" s="57"/>
      <c r="AS29" s="57"/>
      <c r="AT29" s="57"/>
      <c r="AU29" s="57"/>
      <c r="AV29" s="57"/>
      <c r="AW29" s="57"/>
      <c r="AX29" s="51"/>
      <c r="AY29" s="65"/>
      <c r="AZ29" s="56"/>
      <c r="BA29" s="55"/>
      <c r="BB29" s="55"/>
      <c r="BC29" s="55"/>
      <c r="BD29" s="55"/>
      <c r="BE29" s="55"/>
      <c r="BF29" s="55"/>
      <c r="BG29" s="51"/>
      <c r="BH29" s="65"/>
      <c r="BI29" s="55"/>
      <c r="BJ29" s="55"/>
      <c r="BK29" s="55"/>
      <c r="BL29" s="55"/>
      <c r="BM29" s="55"/>
      <c r="BN29" s="55"/>
      <c r="BO29" s="55"/>
      <c r="BP29" s="66"/>
      <c r="BQ29" s="65"/>
      <c r="BR29" s="55"/>
      <c r="BS29" s="55"/>
      <c r="BT29" s="55"/>
      <c r="BU29" s="55"/>
      <c r="BV29" s="55"/>
      <c r="BW29" s="55"/>
      <c r="BX29" s="55"/>
      <c r="BY29" s="66"/>
      <c r="BZ29" s="65"/>
      <c r="CA29" s="55"/>
      <c r="CB29" s="55"/>
      <c r="CC29" s="55"/>
      <c r="CD29" s="55"/>
      <c r="CE29" s="55"/>
      <c r="CF29" s="55"/>
      <c r="CG29" s="55"/>
      <c r="CH29" s="55"/>
      <c r="CI29" s="55"/>
    </row>
    <row r="30" spans="1:87">
      <c r="A30" s="12" t="str">
        <f>Roster!A30</f>
        <v/>
      </c>
      <c r="B30" s="28">
        <f>Roster!C30</f>
        <v>0</v>
      </c>
      <c r="C30" s="28" t="str">
        <f>IF(COUNTIFS(Table36103[[#This Row],[Continue Existing]:[Start New]], "TRUE")=0, "YES", "NO")</f>
        <v>YES</v>
      </c>
      <c r="D30" s="28" t="b">
        <f>COUNTIFS(Table36103[[#This Row],[Screening Results: Drug &amp; Alcohol Assessment 1]:[Other Reason 9]], "Continue with existing treatment services")&gt;0</f>
        <v>0</v>
      </c>
      <c r="E30" s="28" t="b">
        <f>COUNTIFS(Table36103[[#This Row],[Screening Results: Drug &amp; Alcohol Assessment 1]:[Other Reason 9]], "Start new service")&gt;0</f>
        <v>0</v>
      </c>
      <c r="F30" s="55"/>
      <c r="G30" s="56"/>
      <c r="H30" s="57"/>
      <c r="I30" s="57"/>
      <c r="J30" s="57"/>
      <c r="K30" s="57"/>
      <c r="L30" s="57"/>
      <c r="M30" s="57"/>
      <c r="N30" s="51"/>
      <c r="O30" s="58"/>
      <c r="P30" s="56"/>
      <c r="Q30" s="57"/>
      <c r="R30" s="57"/>
      <c r="S30" s="57"/>
      <c r="T30" s="57"/>
      <c r="U30" s="57"/>
      <c r="V30" s="57"/>
      <c r="W30" s="51"/>
      <c r="X30" s="65"/>
      <c r="Y30" s="56"/>
      <c r="Z30" s="57"/>
      <c r="AA30" s="57"/>
      <c r="AB30" s="57"/>
      <c r="AC30" s="57"/>
      <c r="AD30" s="57"/>
      <c r="AE30" s="57"/>
      <c r="AF30" s="51"/>
      <c r="AG30" s="65"/>
      <c r="AH30" s="56"/>
      <c r="AI30" s="57"/>
      <c r="AJ30" s="57"/>
      <c r="AK30" s="57"/>
      <c r="AL30" s="57"/>
      <c r="AM30" s="57"/>
      <c r="AN30" s="57"/>
      <c r="AO30" s="51"/>
      <c r="AP30" s="65"/>
      <c r="AQ30" s="56"/>
      <c r="AR30" s="57"/>
      <c r="AS30" s="57"/>
      <c r="AT30" s="57"/>
      <c r="AU30" s="57"/>
      <c r="AV30" s="57"/>
      <c r="AW30" s="57"/>
      <c r="AX30" s="51"/>
      <c r="AY30" s="65"/>
      <c r="AZ30" s="56"/>
      <c r="BA30" s="55"/>
      <c r="BB30" s="55"/>
      <c r="BC30" s="55"/>
      <c r="BD30" s="55"/>
      <c r="BE30" s="55"/>
      <c r="BF30" s="55"/>
      <c r="BG30" s="51"/>
      <c r="BH30" s="65"/>
      <c r="BI30" s="55"/>
      <c r="BJ30" s="55"/>
      <c r="BK30" s="55"/>
      <c r="BL30" s="55"/>
      <c r="BM30" s="55"/>
      <c r="BN30" s="55"/>
      <c r="BO30" s="55"/>
      <c r="BP30" s="66"/>
      <c r="BQ30" s="65"/>
      <c r="BR30" s="55"/>
      <c r="BS30" s="55"/>
      <c r="BT30" s="55"/>
      <c r="BU30" s="55"/>
      <c r="BV30" s="55"/>
      <c r="BW30" s="55"/>
      <c r="BX30" s="55"/>
      <c r="BY30" s="66"/>
      <c r="BZ30" s="65"/>
      <c r="CA30" s="55"/>
      <c r="CB30" s="55"/>
      <c r="CC30" s="55"/>
      <c r="CD30" s="55"/>
      <c r="CE30" s="55"/>
      <c r="CF30" s="55"/>
      <c r="CG30" s="55"/>
      <c r="CH30" s="55"/>
      <c r="CI30" s="55"/>
    </row>
    <row r="31" spans="1:87">
      <c r="A31" s="12" t="str">
        <f>Roster!A31</f>
        <v/>
      </c>
      <c r="B31" s="28">
        <f>Roster!C31</f>
        <v>0</v>
      </c>
      <c r="C31" s="28" t="str">
        <f>IF(COUNTIFS(Table36103[[#This Row],[Continue Existing]:[Start New]], "TRUE")=0, "YES", "NO")</f>
        <v>YES</v>
      </c>
      <c r="D31" s="28" t="b">
        <f>COUNTIFS(Table36103[[#This Row],[Screening Results: Drug &amp; Alcohol Assessment 1]:[Other Reason 9]], "Continue with existing treatment services")&gt;0</f>
        <v>0</v>
      </c>
      <c r="E31" s="28" t="b">
        <f>COUNTIFS(Table36103[[#This Row],[Screening Results: Drug &amp; Alcohol Assessment 1]:[Other Reason 9]], "Start new service")&gt;0</f>
        <v>0</v>
      </c>
      <c r="F31" s="55"/>
      <c r="G31" s="56"/>
      <c r="H31" s="57"/>
      <c r="I31" s="57"/>
      <c r="J31" s="57"/>
      <c r="K31" s="57"/>
      <c r="L31" s="57"/>
      <c r="M31" s="57"/>
      <c r="N31" s="51"/>
      <c r="O31" s="58"/>
      <c r="P31" s="56"/>
      <c r="Q31" s="57"/>
      <c r="R31" s="57"/>
      <c r="S31" s="57"/>
      <c r="T31" s="57"/>
      <c r="U31" s="57"/>
      <c r="V31" s="57"/>
      <c r="W31" s="51"/>
      <c r="X31" s="65"/>
      <c r="Y31" s="56"/>
      <c r="Z31" s="57"/>
      <c r="AA31" s="57"/>
      <c r="AB31" s="57"/>
      <c r="AC31" s="57"/>
      <c r="AD31" s="57"/>
      <c r="AE31" s="57"/>
      <c r="AF31" s="51"/>
      <c r="AG31" s="65"/>
      <c r="AH31" s="56"/>
      <c r="AI31" s="57"/>
      <c r="AJ31" s="57"/>
      <c r="AK31" s="57"/>
      <c r="AL31" s="57"/>
      <c r="AM31" s="57"/>
      <c r="AN31" s="57"/>
      <c r="AO31" s="51"/>
      <c r="AP31" s="65"/>
      <c r="AQ31" s="56"/>
      <c r="AR31" s="57"/>
      <c r="AS31" s="57"/>
      <c r="AT31" s="57"/>
      <c r="AU31" s="57"/>
      <c r="AV31" s="57"/>
      <c r="AW31" s="57"/>
      <c r="AX31" s="51"/>
      <c r="AY31" s="65"/>
      <c r="AZ31" s="56"/>
      <c r="BA31" s="55"/>
      <c r="BB31" s="55"/>
      <c r="BC31" s="55"/>
      <c r="BD31" s="55"/>
      <c r="BE31" s="55"/>
      <c r="BF31" s="55"/>
      <c r="BG31" s="51"/>
      <c r="BH31" s="65"/>
      <c r="BI31" s="55"/>
      <c r="BJ31" s="55"/>
      <c r="BK31" s="55"/>
      <c r="BL31" s="55"/>
      <c r="BM31" s="55"/>
      <c r="BN31" s="55"/>
      <c r="BO31" s="55"/>
      <c r="BP31" s="66"/>
      <c r="BQ31" s="65"/>
      <c r="BR31" s="55"/>
      <c r="BS31" s="55"/>
      <c r="BT31" s="55"/>
      <c r="BU31" s="55"/>
      <c r="BV31" s="55"/>
      <c r="BW31" s="55"/>
      <c r="BX31" s="55"/>
      <c r="BY31" s="66"/>
      <c r="BZ31" s="65"/>
      <c r="CA31" s="55"/>
      <c r="CB31" s="55"/>
      <c r="CC31" s="55"/>
      <c r="CD31" s="55"/>
      <c r="CE31" s="55"/>
      <c r="CF31" s="55"/>
      <c r="CG31" s="55"/>
      <c r="CH31" s="55"/>
      <c r="CI31" s="55"/>
    </row>
    <row r="32" spans="1:87">
      <c r="A32" s="12" t="str">
        <f>Roster!A32</f>
        <v/>
      </c>
      <c r="B32" s="28">
        <f>Roster!C32</f>
        <v>0</v>
      </c>
      <c r="C32" s="28" t="str">
        <f>IF(COUNTIFS(Table36103[[#This Row],[Continue Existing]:[Start New]], "TRUE")=0, "YES", "NO")</f>
        <v>YES</v>
      </c>
      <c r="D32" s="28" t="b">
        <f>COUNTIFS(Table36103[[#This Row],[Screening Results: Drug &amp; Alcohol Assessment 1]:[Other Reason 9]], "Continue with existing treatment services")&gt;0</f>
        <v>0</v>
      </c>
      <c r="E32" s="28" t="b">
        <f>COUNTIFS(Table36103[[#This Row],[Screening Results: Drug &amp; Alcohol Assessment 1]:[Other Reason 9]], "Start new service")&gt;0</f>
        <v>0</v>
      </c>
      <c r="F32" s="55"/>
      <c r="G32" s="56"/>
      <c r="H32" s="57"/>
      <c r="I32" s="57"/>
      <c r="J32" s="57"/>
      <c r="K32" s="57"/>
      <c r="L32" s="57"/>
      <c r="M32" s="57"/>
      <c r="N32" s="51"/>
      <c r="O32" s="58"/>
      <c r="P32" s="56"/>
      <c r="Q32" s="57"/>
      <c r="R32" s="57"/>
      <c r="S32" s="57"/>
      <c r="T32" s="57"/>
      <c r="U32" s="57"/>
      <c r="V32" s="57"/>
      <c r="W32" s="51"/>
      <c r="X32" s="65"/>
      <c r="Y32" s="56"/>
      <c r="Z32" s="57"/>
      <c r="AA32" s="57"/>
      <c r="AB32" s="57"/>
      <c r="AC32" s="57"/>
      <c r="AD32" s="57"/>
      <c r="AE32" s="57"/>
      <c r="AF32" s="51"/>
      <c r="AG32" s="65"/>
      <c r="AH32" s="56"/>
      <c r="AI32" s="57"/>
      <c r="AJ32" s="57"/>
      <c r="AK32" s="57"/>
      <c r="AL32" s="57"/>
      <c r="AM32" s="57"/>
      <c r="AN32" s="57"/>
      <c r="AO32" s="51"/>
      <c r="AP32" s="65"/>
      <c r="AQ32" s="56"/>
      <c r="AR32" s="57"/>
      <c r="AS32" s="57"/>
      <c r="AT32" s="57"/>
      <c r="AU32" s="57"/>
      <c r="AV32" s="57"/>
      <c r="AW32" s="57"/>
      <c r="AX32" s="51"/>
      <c r="AY32" s="65"/>
      <c r="AZ32" s="56"/>
      <c r="BA32" s="55"/>
      <c r="BB32" s="55"/>
      <c r="BC32" s="55"/>
      <c r="BD32" s="55"/>
      <c r="BE32" s="55"/>
      <c r="BF32" s="55"/>
      <c r="BG32" s="51"/>
      <c r="BH32" s="65"/>
      <c r="BI32" s="55"/>
      <c r="BJ32" s="55"/>
      <c r="BK32" s="55"/>
      <c r="BL32" s="55"/>
      <c r="BM32" s="55"/>
      <c r="BN32" s="55"/>
      <c r="BO32" s="55"/>
      <c r="BP32" s="66"/>
      <c r="BQ32" s="65"/>
      <c r="BR32" s="55"/>
      <c r="BS32" s="55"/>
      <c r="BT32" s="55"/>
      <c r="BU32" s="55"/>
      <c r="BV32" s="55"/>
      <c r="BW32" s="55"/>
      <c r="BX32" s="55"/>
      <c r="BY32" s="66"/>
      <c r="BZ32" s="65"/>
      <c r="CA32" s="55"/>
      <c r="CB32" s="55"/>
      <c r="CC32" s="55"/>
      <c r="CD32" s="55"/>
      <c r="CE32" s="55"/>
      <c r="CF32" s="55"/>
      <c r="CG32" s="55"/>
      <c r="CH32" s="55"/>
      <c r="CI32" s="55"/>
    </row>
    <row r="33" spans="1:87">
      <c r="A33" s="12" t="str">
        <f>Roster!A33</f>
        <v/>
      </c>
      <c r="B33" s="28">
        <f>Roster!C33</f>
        <v>0</v>
      </c>
      <c r="C33" s="28" t="str">
        <f>IF(COUNTIFS(Table36103[[#This Row],[Continue Existing]:[Start New]], "TRUE")=0, "YES", "NO")</f>
        <v>YES</v>
      </c>
      <c r="D33" s="28" t="b">
        <f>COUNTIFS(Table36103[[#This Row],[Screening Results: Drug &amp; Alcohol Assessment 1]:[Other Reason 9]], "Continue with existing treatment services")&gt;0</f>
        <v>0</v>
      </c>
      <c r="E33" s="28" t="b">
        <f>COUNTIFS(Table36103[[#This Row],[Screening Results: Drug &amp; Alcohol Assessment 1]:[Other Reason 9]], "Start new service")&gt;0</f>
        <v>0</v>
      </c>
      <c r="F33" s="55"/>
      <c r="G33" s="56"/>
      <c r="H33" s="57"/>
      <c r="I33" s="57"/>
      <c r="J33" s="57"/>
      <c r="K33" s="57"/>
      <c r="L33" s="57"/>
      <c r="M33" s="57"/>
      <c r="N33" s="51"/>
      <c r="O33" s="58"/>
      <c r="P33" s="56"/>
      <c r="Q33" s="57"/>
      <c r="R33" s="57"/>
      <c r="S33" s="57"/>
      <c r="T33" s="57"/>
      <c r="U33" s="57"/>
      <c r="V33" s="57"/>
      <c r="W33" s="51"/>
      <c r="X33" s="65"/>
      <c r="Y33" s="56"/>
      <c r="Z33" s="57"/>
      <c r="AA33" s="57"/>
      <c r="AB33" s="57"/>
      <c r="AC33" s="57"/>
      <c r="AD33" s="57"/>
      <c r="AE33" s="57"/>
      <c r="AF33" s="51"/>
      <c r="AG33" s="65"/>
      <c r="AH33" s="56"/>
      <c r="AI33" s="57"/>
      <c r="AJ33" s="57"/>
      <c r="AK33" s="57"/>
      <c r="AL33" s="57"/>
      <c r="AM33" s="57"/>
      <c r="AN33" s="57"/>
      <c r="AO33" s="51"/>
      <c r="AP33" s="65"/>
      <c r="AQ33" s="56"/>
      <c r="AR33" s="57"/>
      <c r="AS33" s="57"/>
      <c r="AT33" s="57"/>
      <c r="AU33" s="57"/>
      <c r="AV33" s="57"/>
      <c r="AW33" s="57"/>
      <c r="AX33" s="51"/>
      <c r="AY33" s="65"/>
      <c r="AZ33" s="56"/>
      <c r="BA33" s="55"/>
      <c r="BB33" s="55"/>
      <c r="BC33" s="55"/>
      <c r="BD33" s="55"/>
      <c r="BE33" s="55"/>
      <c r="BF33" s="55"/>
      <c r="BG33" s="51"/>
      <c r="BH33" s="65"/>
      <c r="BI33" s="55"/>
      <c r="BJ33" s="55"/>
      <c r="BK33" s="55"/>
      <c r="BL33" s="55"/>
      <c r="BM33" s="55"/>
      <c r="BN33" s="55"/>
      <c r="BO33" s="55"/>
      <c r="BP33" s="66"/>
      <c r="BQ33" s="65"/>
      <c r="BR33" s="55"/>
      <c r="BS33" s="55"/>
      <c r="BT33" s="55"/>
      <c r="BU33" s="55"/>
      <c r="BV33" s="55"/>
      <c r="BW33" s="55"/>
      <c r="BX33" s="55"/>
      <c r="BY33" s="66"/>
      <c r="BZ33" s="65"/>
      <c r="CA33" s="55"/>
      <c r="CB33" s="55"/>
      <c r="CC33" s="55"/>
      <c r="CD33" s="55"/>
      <c r="CE33" s="55"/>
      <c r="CF33" s="55"/>
      <c r="CG33" s="55"/>
      <c r="CH33" s="55"/>
      <c r="CI33" s="55"/>
    </row>
    <row r="34" spans="1:87">
      <c r="A34" s="12" t="str">
        <f>Roster!A34</f>
        <v/>
      </c>
      <c r="B34" s="28">
        <f>Roster!C34</f>
        <v>0</v>
      </c>
      <c r="C34" s="28" t="str">
        <f>IF(COUNTIFS(Table36103[[#This Row],[Continue Existing]:[Start New]], "TRUE")=0, "YES", "NO")</f>
        <v>YES</v>
      </c>
      <c r="D34" s="28" t="b">
        <f>COUNTIFS(Table36103[[#This Row],[Screening Results: Drug &amp; Alcohol Assessment 1]:[Other Reason 9]], "Continue with existing treatment services")&gt;0</f>
        <v>0</v>
      </c>
      <c r="E34" s="28" t="b">
        <f>COUNTIFS(Table36103[[#This Row],[Screening Results: Drug &amp; Alcohol Assessment 1]:[Other Reason 9]], "Start new service")&gt;0</f>
        <v>0</v>
      </c>
      <c r="F34" s="55"/>
      <c r="G34" s="56"/>
      <c r="H34" s="57"/>
      <c r="I34" s="57"/>
      <c r="J34" s="57"/>
      <c r="K34" s="57"/>
      <c r="L34" s="57"/>
      <c r="M34" s="57"/>
      <c r="N34" s="51"/>
      <c r="O34" s="58"/>
      <c r="P34" s="56"/>
      <c r="Q34" s="57"/>
      <c r="R34" s="57"/>
      <c r="S34" s="57"/>
      <c r="T34" s="57"/>
      <c r="U34" s="57"/>
      <c r="V34" s="57"/>
      <c r="W34" s="51"/>
      <c r="X34" s="65"/>
      <c r="Y34" s="56"/>
      <c r="Z34" s="57"/>
      <c r="AA34" s="57"/>
      <c r="AB34" s="57"/>
      <c r="AC34" s="57"/>
      <c r="AD34" s="57"/>
      <c r="AE34" s="57"/>
      <c r="AF34" s="51"/>
      <c r="AG34" s="65"/>
      <c r="AH34" s="56"/>
      <c r="AI34" s="57"/>
      <c r="AJ34" s="57"/>
      <c r="AK34" s="57"/>
      <c r="AL34" s="57"/>
      <c r="AM34" s="57"/>
      <c r="AN34" s="57"/>
      <c r="AO34" s="51"/>
      <c r="AP34" s="65"/>
      <c r="AQ34" s="56"/>
      <c r="AR34" s="57"/>
      <c r="AS34" s="57"/>
      <c r="AT34" s="57"/>
      <c r="AU34" s="57"/>
      <c r="AV34" s="57"/>
      <c r="AW34" s="57"/>
      <c r="AX34" s="51"/>
      <c r="AY34" s="65"/>
      <c r="AZ34" s="56"/>
      <c r="BA34" s="55"/>
      <c r="BB34" s="55"/>
      <c r="BC34" s="55"/>
      <c r="BD34" s="55"/>
      <c r="BE34" s="55"/>
      <c r="BF34" s="55"/>
      <c r="BG34" s="51"/>
      <c r="BH34" s="65"/>
      <c r="BI34" s="55"/>
      <c r="BJ34" s="55"/>
      <c r="BK34" s="55"/>
      <c r="BL34" s="55"/>
      <c r="BM34" s="55"/>
      <c r="BN34" s="55"/>
      <c r="BO34" s="55"/>
      <c r="BP34" s="66"/>
      <c r="BQ34" s="65"/>
      <c r="BR34" s="55"/>
      <c r="BS34" s="55"/>
      <c r="BT34" s="55"/>
      <c r="BU34" s="55"/>
      <c r="BV34" s="55"/>
      <c r="BW34" s="55"/>
      <c r="BX34" s="55"/>
      <c r="BY34" s="66"/>
      <c r="BZ34" s="65"/>
      <c r="CA34" s="55"/>
      <c r="CB34" s="55"/>
      <c r="CC34" s="55"/>
      <c r="CD34" s="55"/>
      <c r="CE34" s="55"/>
      <c r="CF34" s="55"/>
      <c r="CG34" s="55"/>
      <c r="CH34" s="55"/>
      <c r="CI34" s="55"/>
    </row>
    <row r="35" spans="1:87">
      <c r="A35" s="12" t="str">
        <f>Roster!A35</f>
        <v/>
      </c>
      <c r="B35" s="28">
        <f>Roster!C35</f>
        <v>0</v>
      </c>
      <c r="C35" s="28" t="str">
        <f>IF(COUNTIFS(Table36103[[#This Row],[Continue Existing]:[Start New]], "TRUE")=0, "YES", "NO")</f>
        <v>YES</v>
      </c>
      <c r="D35" s="28" t="b">
        <f>COUNTIFS(Table36103[[#This Row],[Screening Results: Drug &amp; Alcohol Assessment 1]:[Other Reason 9]], "Continue with existing treatment services")&gt;0</f>
        <v>0</v>
      </c>
      <c r="E35" s="28" t="b">
        <f>COUNTIFS(Table36103[[#This Row],[Screening Results: Drug &amp; Alcohol Assessment 1]:[Other Reason 9]], "Start new service")&gt;0</f>
        <v>0</v>
      </c>
      <c r="F35" s="55"/>
      <c r="G35" s="56"/>
      <c r="H35" s="57"/>
      <c r="I35" s="57"/>
      <c r="J35" s="57"/>
      <c r="K35" s="57"/>
      <c r="L35" s="57"/>
      <c r="M35" s="57"/>
      <c r="N35" s="51"/>
      <c r="O35" s="58"/>
      <c r="P35" s="56"/>
      <c r="Q35" s="57"/>
      <c r="R35" s="57"/>
      <c r="S35" s="57"/>
      <c r="T35" s="57"/>
      <c r="U35" s="57"/>
      <c r="V35" s="57"/>
      <c r="W35" s="51"/>
      <c r="X35" s="65"/>
      <c r="Y35" s="56"/>
      <c r="Z35" s="57"/>
      <c r="AA35" s="57"/>
      <c r="AB35" s="57"/>
      <c r="AC35" s="57"/>
      <c r="AD35" s="57"/>
      <c r="AE35" s="57"/>
      <c r="AF35" s="51"/>
      <c r="AG35" s="65"/>
      <c r="AH35" s="56"/>
      <c r="AI35" s="57"/>
      <c r="AJ35" s="57"/>
      <c r="AK35" s="57"/>
      <c r="AL35" s="57"/>
      <c r="AM35" s="57"/>
      <c r="AN35" s="57"/>
      <c r="AO35" s="51"/>
      <c r="AP35" s="65"/>
      <c r="AQ35" s="56"/>
      <c r="AR35" s="57"/>
      <c r="AS35" s="57"/>
      <c r="AT35" s="57"/>
      <c r="AU35" s="57"/>
      <c r="AV35" s="57"/>
      <c r="AW35" s="57"/>
      <c r="AX35" s="51"/>
      <c r="AY35" s="65"/>
      <c r="AZ35" s="56"/>
      <c r="BA35" s="55"/>
      <c r="BB35" s="55"/>
      <c r="BC35" s="55"/>
      <c r="BD35" s="55"/>
      <c r="BE35" s="55"/>
      <c r="BF35" s="55"/>
      <c r="BG35" s="51"/>
      <c r="BH35" s="65"/>
      <c r="BI35" s="55"/>
      <c r="BJ35" s="55"/>
      <c r="BK35" s="55"/>
      <c r="BL35" s="55"/>
      <c r="BM35" s="55"/>
      <c r="BN35" s="55"/>
      <c r="BO35" s="55"/>
      <c r="BP35" s="66"/>
      <c r="BQ35" s="65"/>
      <c r="BR35" s="55"/>
      <c r="BS35" s="55"/>
      <c r="BT35" s="55"/>
      <c r="BU35" s="55"/>
      <c r="BV35" s="55"/>
      <c r="BW35" s="55"/>
      <c r="BX35" s="55"/>
      <c r="BY35" s="66"/>
      <c r="BZ35" s="65"/>
      <c r="CA35" s="55"/>
      <c r="CB35" s="55"/>
      <c r="CC35" s="55"/>
      <c r="CD35" s="55"/>
      <c r="CE35" s="55"/>
      <c r="CF35" s="55"/>
      <c r="CG35" s="55"/>
      <c r="CH35" s="55"/>
      <c r="CI35" s="55"/>
    </row>
    <row r="36" spans="1:87">
      <c r="A36" s="12" t="str">
        <f>Roster!A36</f>
        <v/>
      </c>
      <c r="B36" s="28">
        <f>Roster!C36</f>
        <v>0</v>
      </c>
      <c r="C36" s="28" t="str">
        <f>IF(COUNTIFS(Table36103[[#This Row],[Continue Existing]:[Start New]], "TRUE")=0, "YES", "NO")</f>
        <v>YES</v>
      </c>
      <c r="D36" s="28" t="b">
        <f>COUNTIFS(Table36103[[#This Row],[Screening Results: Drug &amp; Alcohol Assessment 1]:[Other Reason 9]], "Continue with existing treatment services")&gt;0</f>
        <v>0</v>
      </c>
      <c r="E36" s="28" t="b">
        <f>COUNTIFS(Table36103[[#This Row],[Screening Results: Drug &amp; Alcohol Assessment 1]:[Other Reason 9]], "Start new service")&gt;0</f>
        <v>0</v>
      </c>
      <c r="F36" s="55"/>
      <c r="G36" s="56"/>
      <c r="H36" s="57"/>
      <c r="I36" s="57"/>
      <c r="J36" s="57"/>
      <c r="K36" s="57"/>
      <c r="L36" s="57"/>
      <c r="M36" s="57"/>
      <c r="N36" s="51"/>
      <c r="O36" s="58"/>
      <c r="P36" s="56"/>
      <c r="Q36" s="57"/>
      <c r="R36" s="57"/>
      <c r="S36" s="57"/>
      <c r="T36" s="57"/>
      <c r="U36" s="57"/>
      <c r="V36" s="57"/>
      <c r="W36" s="51"/>
      <c r="X36" s="65"/>
      <c r="Y36" s="56"/>
      <c r="Z36" s="57"/>
      <c r="AA36" s="57"/>
      <c r="AB36" s="57"/>
      <c r="AC36" s="57"/>
      <c r="AD36" s="57"/>
      <c r="AE36" s="57"/>
      <c r="AF36" s="51"/>
      <c r="AG36" s="65"/>
      <c r="AH36" s="56"/>
      <c r="AI36" s="57"/>
      <c r="AJ36" s="57"/>
      <c r="AK36" s="57"/>
      <c r="AL36" s="57"/>
      <c r="AM36" s="57"/>
      <c r="AN36" s="57"/>
      <c r="AO36" s="51"/>
      <c r="AP36" s="65"/>
      <c r="AQ36" s="56"/>
      <c r="AR36" s="57"/>
      <c r="AS36" s="57"/>
      <c r="AT36" s="57"/>
      <c r="AU36" s="57"/>
      <c r="AV36" s="57"/>
      <c r="AW36" s="57"/>
      <c r="AX36" s="51"/>
      <c r="AY36" s="65"/>
      <c r="AZ36" s="56"/>
      <c r="BA36" s="55"/>
      <c r="BB36" s="55"/>
      <c r="BC36" s="55"/>
      <c r="BD36" s="55"/>
      <c r="BE36" s="55"/>
      <c r="BF36" s="55"/>
      <c r="BG36" s="51"/>
      <c r="BH36" s="65"/>
      <c r="BI36" s="55"/>
      <c r="BJ36" s="55"/>
      <c r="BK36" s="55"/>
      <c r="BL36" s="55"/>
      <c r="BM36" s="55"/>
      <c r="BN36" s="55"/>
      <c r="BO36" s="55"/>
      <c r="BP36" s="66"/>
      <c r="BQ36" s="65"/>
      <c r="BR36" s="55"/>
      <c r="BS36" s="55"/>
      <c r="BT36" s="55"/>
      <c r="BU36" s="55"/>
      <c r="BV36" s="55"/>
      <c r="BW36" s="55"/>
      <c r="BX36" s="55"/>
      <c r="BY36" s="66"/>
      <c r="BZ36" s="65"/>
      <c r="CA36" s="55"/>
      <c r="CB36" s="55"/>
      <c r="CC36" s="55"/>
      <c r="CD36" s="55"/>
      <c r="CE36" s="55"/>
      <c r="CF36" s="55"/>
      <c r="CG36" s="55"/>
      <c r="CH36" s="55"/>
      <c r="CI36" s="55"/>
    </row>
    <row r="37" spans="1:87">
      <c r="A37" s="12" t="str">
        <f>Roster!A37</f>
        <v/>
      </c>
      <c r="B37" s="28">
        <f>Roster!C37</f>
        <v>0</v>
      </c>
      <c r="C37" s="28" t="str">
        <f>IF(COUNTIFS(Table36103[[#This Row],[Continue Existing]:[Start New]], "TRUE")=0, "YES", "NO")</f>
        <v>YES</v>
      </c>
      <c r="D37" s="28" t="b">
        <f>COUNTIFS(Table36103[[#This Row],[Screening Results: Drug &amp; Alcohol Assessment 1]:[Other Reason 9]], "Continue with existing treatment services")&gt;0</f>
        <v>0</v>
      </c>
      <c r="E37" s="28" t="b">
        <f>COUNTIFS(Table36103[[#This Row],[Screening Results: Drug &amp; Alcohol Assessment 1]:[Other Reason 9]], "Start new service")&gt;0</f>
        <v>0</v>
      </c>
      <c r="F37" s="55"/>
      <c r="G37" s="56"/>
      <c r="H37" s="57"/>
      <c r="I37" s="57"/>
      <c r="J37" s="57"/>
      <c r="K37" s="57"/>
      <c r="L37" s="57"/>
      <c r="M37" s="57"/>
      <c r="N37" s="51"/>
      <c r="O37" s="58"/>
      <c r="P37" s="56"/>
      <c r="Q37" s="57"/>
      <c r="R37" s="57"/>
      <c r="S37" s="57"/>
      <c r="T37" s="57"/>
      <c r="U37" s="57"/>
      <c r="V37" s="57"/>
      <c r="W37" s="51"/>
      <c r="X37" s="65"/>
      <c r="Y37" s="56"/>
      <c r="Z37" s="57"/>
      <c r="AA37" s="57"/>
      <c r="AB37" s="57"/>
      <c r="AC37" s="57"/>
      <c r="AD37" s="57"/>
      <c r="AE37" s="57"/>
      <c r="AF37" s="51"/>
      <c r="AG37" s="65"/>
      <c r="AH37" s="56"/>
      <c r="AI37" s="57"/>
      <c r="AJ37" s="57"/>
      <c r="AK37" s="57"/>
      <c r="AL37" s="57"/>
      <c r="AM37" s="57"/>
      <c r="AN37" s="57"/>
      <c r="AO37" s="51"/>
      <c r="AP37" s="65"/>
      <c r="AQ37" s="56"/>
      <c r="AR37" s="57"/>
      <c r="AS37" s="57"/>
      <c r="AT37" s="57"/>
      <c r="AU37" s="57"/>
      <c r="AV37" s="57"/>
      <c r="AW37" s="57"/>
      <c r="AX37" s="51"/>
      <c r="AY37" s="65"/>
      <c r="AZ37" s="56"/>
      <c r="BA37" s="55"/>
      <c r="BB37" s="55"/>
      <c r="BC37" s="55"/>
      <c r="BD37" s="55"/>
      <c r="BE37" s="55"/>
      <c r="BF37" s="55"/>
      <c r="BG37" s="51"/>
      <c r="BH37" s="65"/>
      <c r="BI37" s="55"/>
      <c r="BJ37" s="55"/>
      <c r="BK37" s="55"/>
      <c r="BL37" s="55"/>
      <c r="BM37" s="55"/>
      <c r="BN37" s="55"/>
      <c r="BO37" s="55"/>
      <c r="BP37" s="66"/>
      <c r="BQ37" s="65"/>
      <c r="BR37" s="55"/>
      <c r="BS37" s="55"/>
      <c r="BT37" s="55"/>
      <c r="BU37" s="55"/>
      <c r="BV37" s="55"/>
      <c r="BW37" s="55"/>
      <c r="BX37" s="55"/>
      <c r="BY37" s="66"/>
      <c r="BZ37" s="65"/>
      <c r="CA37" s="55"/>
      <c r="CB37" s="55"/>
      <c r="CC37" s="55"/>
      <c r="CD37" s="55"/>
      <c r="CE37" s="55"/>
      <c r="CF37" s="55"/>
      <c r="CG37" s="55"/>
      <c r="CH37" s="55"/>
      <c r="CI37" s="55"/>
    </row>
    <row r="38" spans="1:87">
      <c r="A38" s="12" t="str">
        <f>Roster!A38</f>
        <v/>
      </c>
      <c r="B38" s="28">
        <f>Roster!C38</f>
        <v>0</v>
      </c>
      <c r="C38" s="28" t="str">
        <f>IF(COUNTIFS(Table36103[[#This Row],[Continue Existing]:[Start New]], "TRUE")=0, "YES", "NO")</f>
        <v>YES</v>
      </c>
      <c r="D38" s="28" t="b">
        <f>COUNTIFS(Table36103[[#This Row],[Screening Results: Drug &amp; Alcohol Assessment 1]:[Other Reason 9]], "Continue with existing treatment services")&gt;0</f>
        <v>0</v>
      </c>
      <c r="E38" s="28" t="b">
        <f>COUNTIFS(Table36103[[#This Row],[Screening Results: Drug &amp; Alcohol Assessment 1]:[Other Reason 9]], "Start new service")&gt;0</f>
        <v>0</v>
      </c>
      <c r="F38" s="55"/>
      <c r="G38" s="56"/>
      <c r="H38" s="57"/>
      <c r="I38" s="57"/>
      <c r="J38" s="57"/>
      <c r="K38" s="57"/>
      <c r="L38" s="57"/>
      <c r="M38" s="57"/>
      <c r="N38" s="51"/>
      <c r="O38" s="58"/>
      <c r="P38" s="56"/>
      <c r="Q38" s="57"/>
      <c r="R38" s="57"/>
      <c r="S38" s="57"/>
      <c r="T38" s="57"/>
      <c r="U38" s="57"/>
      <c r="V38" s="57"/>
      <c r="W38" s="51"/>
      <c r="X38" s="65"/>
      <c r="Y38" s="56"/>
      <c r="Z38" s="57"/>
      <c r="AA38" s="57"/>
      <c r="AB38" s="57"/>
      <c r="AC38" s="57"/>
      <c r="AD38" s="57"/>
      <c r="AE38" s="57"/>
      <c r="AF38" s="51"/>
      <c r="AG38" s="65"/>
      <c r="AH38" s="56"/>
      <c r="AI38" s="57"/>
      <c r="AJ38" s="57"/>
      <c r="AK38" s="57"/>
      <c r="AL38" s="57"/>
      <c r="AM38" s="57"/>
      <c r="AN38" s="57"/>
      <c r="AO38" s="51"/>
      <c r="AP38" s="65"/>
      <c r="AQ38" s="56"/>
      <c r="AR38" s="57"/>
      <c r="AS38" s="57"/>
      <c r="AT38" s="57"/>
      <c r="AU38" s="57"/>
      <c r="AV38" s="57"/>
      <c r="AW38" s="57"/>
      <c r="AX38" s="51"/>
      <c r="AY38" s="65"/>
      <c r="AZ38" s="56"/>
      <c r="BA38" s="55"/>
      <c r="BB38" s="55"/>
      <c r="BC38" s="55"/>
      <c r="BD38" s="55"/>
      <c r="BE38" s="55"/>
      <c r="BF38" s="55"/>
      <c r="BG38" s="51"/>
      <c r="BH38" s="65"/>
      <c r="BI38" s="55"/>
      <c r="BJ38" s="55"/>
      <c r="BK38" s="55"/>
      <c r="BL38" s="55"/>
      <c r="BM38" s="55"/>
      <c r="BN38" s="55"/>
      <c r="BO38" s="55"/>
      <c r="BP38" s="66"/>
      <c r="BQ38" s="65"/>
      <c r="BR38" s="55"/>
      <c r="BS38" s="55"/>
      <c r="BT38" s="55"/>
      <c r="BU38" s="55"/>
      <c r="BV38" s="55"/>
      <c r="BW38" s="55"/>
      <c r="BX38" s="55"/>
      <c r="BY38" s="66"/>
      <c r="BZ38" s="65"/>
      <c r="CA38" s="55"/>
      <c r="CB38" s="55"/>
      <c r="CC38" s="55"/>
      <c r="CD38" s="55"/>
      <c r="CE38" s="55"/>
      <c r="CF38" s="55"/>
      <c r="CG38" s="55"/>
      <c r="CH38" s="55"/>
      <c r="CI38" s="55"/>
    </row>
    <row r="39" spans="1:87">
      <c r="A39" s="12" t="str">
        <f>Roster!A39</f>
        <v/>
      </c>
      <c r="B39" s="28">
        <f>Roster!C39</f>
        <v>0</v>
      </c>
      <c r="C39" s="28" t="str">
        <f>IF(COUNTIFS(Table36103[[#This Row],[Continue Existing]:[Start New]], "TRUE")=0, "YES", "NO")</f>
        <v>YES</v>
      </c>
      <c r="D39" s="28" t="b">
        <f>COUNTIFS(Table36103[[#This Row],[Screening Results: Drug &amp; Alcohol Assessment 1]:[Other Reason 9]], "Continue with existing treatment services")&gt;0</f>
        <v>0</v>
      </c>
      <c r="E39" s="28" t="b">
        <f>COUNTIFS(Table36103[[#This Row],[Screening Results: Drug &amp; Alcohol Assessment 1]:[Other Reason 9]], "Start new service")&gt;0</f>
        <v>0</v>
      </c>
      <c r="F39" s="55"/>
      <c r="G39" s="56"/>
      <c r="H39" s="57"/>
      <c r="I39" s="57"/>
      <c r="J39" s="57"/>
      <c r="K39" s="57"/>
      <c r="L39" s="57"/>
      <c r="M39" s="57"/>
      <c r="N39" s="51"/>
      <c r="O39" s="58"/>
      <c r="P39" s="56"/>
      <c r="Q39" s="57"/>
      <c r="R39" s="57"/>
      <c r="S39" s="57"/>
      <c r="T39" s="57"/>
      <c r="U39" s="57"/>
      <c r="V39" s="57"/>
      <c r="W39" s="51"/>
      <c r="X39" s="65"/>
      <c r="Y39" s="56"/>
      <c r="Z39" s="57"/>
      <c r="AA39" s="57"/>
      <c r="AB39" s="57"/>
      <c r="AC39" s="57"/>
      <c r="AD39" s="57"/>
      <c r="AE39" s="57"/>
      <c r="AF39" s="51"/>
      <c r="AG39" s="65"/>
      <c r="AH39" s="56"/>
      <c r="AI39" s="57"/>
      <c r="AJ39" s="57"/>
      <c r="AK39" s="57"/>
      <c r="AL39" s="57"/>
      <c r="AM39" s="57"/>
      <c r="AN39" s="57"/>
      <c r="AO39" s="51"/>
      <c r="AP39" s="65"/>
      <c r="AQ39" s="56"/>
      <c r="AR39" s="57"/>
      <c r="AS39" s="57"/>
      <c r="AT39" s="57"/>
      <c r="AU39" s="57"/>
      <c r="AV39" s="57"/>
      <c r="AW39" s="57"/>
      <c r="AX39" s="51"/>
      <c r="AY39" s="65"/>
      <c r="AZ39" s="56"/>
      <c r="BA39" s="55"/>
      <c r="BB39" s="55"/>
      <c r="BC39" s="55"/>
      <c r="BD39" s="55"/>
      <c r="BE39" s="55"/>
      <c r="BF39" s="55"/>
      <c r="BG39" s="51"/>
      <c r="BH39" s="65"/>
      <c r="BI39" s="55"/>
      <c r="BJ39" s="55"/>
      <c r="BK39" s="55"/>
      <c r="BL39" s="55"/>
      <c r="BM39" s="55"/>
      <c r="BN39" s="55"/>
      <c r="BO39" s="55"/>
      <c r="BP39" s="66"/>
      <c r="BQ39" s="65"/>
      <c r="BR39" s="55"/>
      <c r="BS39" s="55"/>
      <c r="BT39" s="55"/>
      <c r="BU39" s="55"/>
      <c r="BV39" s="55"/>
      <c r="BW39" s="55"/>
      <c r="BX39" s="55"/>
      <c r="BY39" s="66"/>
      <c r="BZ39" s="65"/>
      <c r="CA39" s="55"/>
      <c r="CB39" s="55"/>
      <c r="CC39" s="55"/>
      <c r="CD39" s="55"/>
      <c r="CE39" s="55"/>
      <c r="CF39" s="55"/>
      <c r="CG39" s="55"/>
      <c r="CH39" s="55"/>
      <c r="CI39" s="55"/>
    </row>
    <row r="40" spans="1:87">
      <c r="A40" s="12" t="str">
        <f>Roster!A40</f>
        <v/>
      </c>
      <c r="B40" s="28">
        <f>Roster!C40</f>
        <v>0</v>
      </c>
      <c r="C40" s="28" t="str">
        <f>IF(COUNTIFS(Table36103[[#This Row],[Continue Existing]:[Start New]], "TRUE")=0, "YES", "NO")</f>
        <v>YES</v>
      </c>
      <c r="D40" s="28" t="b">
        <f>COUNTIFS(Table36103[[#This Row],[Screening Results: Drug &amp; Alcohol Assessment 1]:[Other Reason 9]], "Continue with existing treatment services")&gt;0</f>
        <v>0</v>
      </c>
      <c r="E40" s="28" t="b">
        <f>COUNTIFS(Table36103[[#This Row],[Screening Results: Drug &amp; Alcohol Assessment 1]:[Other Reason 9]], "Start new service")&gt;0</f>
        <v>0</v>
      </c>
      <c r="F40" s="55"/>
      <c r="G40" s="56"/>
      <c r="H40" s="57"/>
      <c r="I40" s="57"/>
      <c r="J40" s="57"/>
      <c r="K40" s="57"/>
      <c r="L40" s="57"/>
      <c r="M40" s="57"/>
      <c r="N40" s="51"/>
      <c r="O40" s="58"/>
      <c r="P40" s="56"/>
      <c r="Q40" s="57"/>
      <c r="R40" s="57"/>
      <c r="S40" s="57"/>
      <c r="T40" s="57"/>
      <c r="U40" s="57"/>
      <c r="V40" s="57"/>
      <c r="W40" s="51"/>
      <c r="X40" s="65"/>
      <c r="Y40" s="56"/>
      <c r="Z40" s="57"/>
      <c r="AA40" s="57"/>
      <c r="AB40" s="57"/>
      <c r="AC40" s="57"/>
      <c r="AD40" s="57"/>
      <c r="AE40" s="57"/>
      <c r="AF40" s="51"/>
      <c r="AG40" s="65"/>
      <c r="AH40" s="56"/>
      <c r="AI40" s="57"/>
      <c r="AJ40" s="57"/>
      <c r="AK40" s="57"/>
      <c r="AL40" s="57"/>
      <c r="AM40" s="57"/>
      <c r="AN40" s="57"/>
      <c r="AO40" s="51"/>
      <c r="AP40" s="65"/>
      <c r="AQ40" s="56"/>
      <c r="AR40" s="57"/>
      <c r="AS40" s="57"/>
      <c r="AT40" s="57"/>
      <c r="AU40" s="57"/>
      <c r="AV40" s="57"/>
      <c r="AW40" s="57"/>
      <c r="AX40" s="51"/>
      <c r="AY40" s="65"/>
      <c r="AZ40" s="56"/>
      <c r="BA40" s="55"/>
      <c r="BB40" s="55"/>
      <c r="BC40" s="55"/>
      <c r="BD40" s="55"/>
      <c r="BE40" s="55"/>
      <c r="BF40" s="55"/>
      <c r="BG40" s="51"/>
      <c r="BH40" s="65"/>
      <c r="BI40" s="55"/>
      <c r="BJ40" s="55"/>
      <c r="BK40" s="55"/>
      <c r="BL40" s="55"/>
      <c r="BM40" s="55"/>
      <c r="BN40" s="55"/>
      <c r="BO40" s="55"/>
      <c r="BP40" s="66"/>
      <c r="BQ40" s="65"/>
      <c r="BR40" s="55"/>
      <c r="BS40" s="55"/>
      <c r="BT40" s="55"/>
      <c r="BU40" s="55"/>
      <c r="BV40" s="55"/>
      <c r="BW40" s="55"/>
      <c r="BX40" s="55"/>
      <c r="BY40" s="66"/>
      <c r="BZ40" s="65"/>
      <c r="CA40" s="55"/>
      <c r="CB40" s="55"/>
      <c r="CC40" s="55"/>
      <c r="CD40" s="55"/>
      <c r="CE40" s="55"/>
      <c r="CF40" s="55"/>
      <c r="CG40" s="55"/>
      <c r="CH40" s="55"/>
      <c r="CI40" s="55"/>
    </row>
    <row r="41" spans="1:87">
      <c r="A41" s="12" t="str">
        <f>Roster!A41</f>
        <v/>
      </c>
      <c r="B41" s="28">
        <f>Roster!C41</f>
        <v>0</v>
      </c>
      <c r="C41" s="28" t="str">
        <f>IF(COUNTIFS(Table36103[[#This Row],[Continue Existing]:[Start New]], "TRUE")=0, "YES", "NO")</f>
        <v>YES</v>
      </c>
      <c r="D41" s="28" t="b">
        <f>COUNTIFS(Table36103[[#This Row],[Screening Results: Drug &amp; Alcohol Assessment 1]:[Other Reason 9]], "Continue with existing treatment services")&gt;0</f>
        <v>0</v>
      </c>
      <c r="E41" s="28" t="b">
        <f>COUNTIFS(Table36103[[#This Row],[Screening Results: Drug &amp; Alcohol Assessment 1]:[Other Reason 9]], "Start new service")&gt;0</f>
        <v>0</v>
      </c>
      <c r="F41" s="55"/>
      <c r="G41" s="56"/>
      <c r="H41" s="57"/>
      <c r="I41" s="57"/>
      <c r="J41" s="57"/>
      <c r="K41" s="57"/>
      <c r="L41" s="57"/>
      <c r="M41" s="57"/>
      <c r="N41" s="51"/>
      <c r="O41" s="58"/>
      <c r="P41" s="56"/>
      <c r="Q41" s="57"/>
      <c r="R41" s="57"/>
      <c r="S41" s="57"/>
      <c r="T41" s="57"/>
      <c r="U41" s="57"/>
      <c r="V41" s="57"/>
      <c r="W41" s="51"/>
      <c r="X41" s="65"/>
      <c r="Y41" s="56"/>
      <c r="Z41" s="57"/>
      <c r="AA41" s="57"/>
      <c r="AB41" s="57"/>
      <c r="AC41" s="57"/>
      <c r="AD41" s="57"/>
      <c r="AE41" s="57"/>
      <c r="AF41" s="51"/>
      <c r="AG41" s="65"/>
      <c r="AH41" s="56"/>
      <c r="AI41" s="57"/>
      <c r="AJ41" s="57"/>
      <c r="AK41" s="57"/>
      <c r="AL41" s="57"/>
      <c r="AM41" s="57"/>
      <c r="AN41" s="57"/>
      <c r="AO41" s="51"/>
      <c r="AP41" s="65"/>
      <c r="AQ41" s="56"/>
      <c r="AR41" s="57"/>
      <c r="AS41" s="57"/>
      <c r="AT41" s="57"/>
      <c r="AU41" s="57"/>
      <c r="AV41" s="57"/>
      <c r="AW41" s="57"/>
      <c r="AX41" s="51"/>
      <c r="AY41" s="65"/>
      <c r="AZ41" s="56"/>
      <c r="BA41" s="55"/>
      <c r="BB41" s="55"/>
      <c r="BC41" s="55"/>
      <c r="BD41" s="55"/>
      <c r="BE41" s="55"/>
      <c r="BF41" s="55"/>
      <c r="BG41" s="51"/>
      <c r="BH41" s="65"/>
      <c r="BI41" s="55"/>
      <c r="BJ41" s="55"/>
      <c r="BK41" s="55"/>
      <c r="BL41" s="55"/>
      <c r="BM41" s="55"/>
      <c r="BN41" s="55"/>
      <c r="BO41" s="55"/>
      <c r="BP41" s="66"/>
      <c r="BQ41" s="65"/>
      <c r="BR41" s="55"/>
      <c r="BS41" s="55"/>
      <c r="BT41" s="55"/>
      <c r="BU41" s="55"/>
      <c r="BV41" s="55"/>
      <c r="BW41" s="55"/>
      <c r="BX41" s="55"/>
      <c r="BY41" s="66"/>
      <c r="BZ41" s="65"/>
      <c r="CA41" s="55"/>
      <c r="CB41" s="55"/>
      <c r="CC41" s="55"/>
      <c r="CD41" s="55"/>
      <c r="CE41" s="55"/>
      <c r="CF41" s="55"/>
      <c r="CG41" s="55"/>
      <c r="CH41" s="55"/>
      <c r="CI41" s="55"/>
    </row>
    <row r="42" spans="1:87">
      <c r="A42" s="12" t="str">
        <f>Roster!A42</f>
        <v/>
      </c>
      <c r="B42" s="28">
        <f>Roster!C42</f>
        <v>0</v>
      </c>
      <c r="C42" s="28" t="str">
        <f>IF(COUNTIFS(Table36103[[#This Row],[Continue Existing]:[Start New]], "TRUE")=0, "YES", "NO")</f>
        <v>YES</v>
      </c>
      <c r="D42" s="28" t="b">
        <f>COUNTIFS(Table36103[[#This Row],[Screening Results: Drug &amp; Alcohol Assessment 1]:[Other Reason 9]], "Continue with existing treatment services")&gt;0</f>
        <v>0</v>
      </c>
      <c r="E42" s="28" t="b">
        <f>COUNTIFS(Table36103[[#This Row],[Screening Results: Drug &amp; Alcohol Assessment 1]:[Other Reason 9]], "Start new service")&gt;0</f>
        <v>0</v>
      </c>
      <c r="F42" s="55"/>
      <c r="G42" s="56"/>
      <c r="H42" s="57"/>
      <c r="I42" s="57"/>
      <c r="J42" s="57"/>
      <c r="K42" s="57"/>
      <c r="L42" s="57"/>
      <c r="M42" s="57"/>
      <c r="N42" s="51"/>
      <c r="O42" s="58"/>
      <c r="P42" s="56"/>
      <c r="Q42" s="57"/>
      <c r="R42" s="57"/>
      <c r="S42" s="57"/>
      <c r="T42" s="57"/>
      <c r="U42" s="57"/>
      <c r="V42" s="57"/>
      <c r="W42" s="51"/>
      <c r="X42" s="65"/>
      <c r="Y42" s="56"/>
      <c r="Z42" s="57"/>
      <c r="AA42" s="57"/>
      <c r="AB42" s="57"/>
      <c r="AC42" s="57"/>
      <c r="AD42" s="57"/>
      <c r="AE42" s="57"/>
      <c r="AF42" s="51"/>
      <c r="AG42" s="65"/>
      <c r="AH42" s="56"/>
      <c r="AI42" s="57"/>
      <c r="AJ42" s="57"/>
      <c r="AK42" s="57"/>
      <c r="AL42" s="57"/>
      <c r="AM42" s="57"/>
      <c r="AN42" s="57"/>
      <c r="AO42" s="51"/>
      <c r="AP42" s="65"/>
      <c r="AQ42" s="56"/>
      <c r="AR42" s="57"/>
      <c r="AS42" s="57"/>
      <c r="AT42" s="57"/>
      <c r="AU42" s="57"/>
      <c r="AV42" s="57"/>
      <c r="AW42" s="57"/>
      <c r="AX42" s="51"/>
      <c r="AY42" s="65"/>
      <c r="AZ42" s="56"/>
      <c r="BA42" s="55"/>
      <c r="BB42" s="55"/>
      <c r="BC42" s="55"/>
      <c r="BD42" s="55"/>
      <c r="BE42" s="55"/>
      <c r="BF42" s="55"/>
      <c r="BG42" s="51"/>
      <c r="BH42" s="65"/>
      <c r="BI42" s="55"/>
      <c r="BJ42" s="55"/>
      <c r="BK42" s="55"/>
      <c r="BL42" s="55"/>
      <c r="BM42" s="55"/>
      <c r="BN42" s="55"/>
      <c r="BO42" s="55"/>
      <c r="BP42" s="66"/>
      <c r="BQ42" s="65"/>
      <c r="BR42" s="55"/>
      <c r="BS42" s="55"/>
      <c r="BT42" s="55"/>
      <c r="BU42" s="55"/>
      <c r="BV42" s="55"/>
      <c r="BW42" s="55"/>
      <c r="BX42" s="55"/>
      <c r="BY42" s="66"/>
      <c r="BZ42" s="65"/>
      <c r="CA42" s="55"/>
      <c r="CB42" s="55"/>
      <c r="CC42" s="55"/>
      <c r="CD42" s="55"/>
      <c r="CE42" s="55"/>
      <c r="CF42" s="55"/>
      <c r="CG42" s="55"/>
      <c r="CH42" s="55"/>
      <c r="CI42" s="55"/>
    </row>
    <row r="43" spans="1:87">
      <c r="A43" s="12" t="str">
        <f>Roster!A43</f>
        <v/>
      </c>
      <c r="B43" s="28">
        <f>Roster!C43</f>
        <v>0</v>
      </c>
      <c r="C43" s="28" t="str">
        <f>IF(COUNTIFS(Table36103[[#This Row],[Continue Existing]:[Start New]], "TRUE")=0, "YES", "NO")</f>
        <v>YES</v>
      </c>
      <c r="D43" s="28" t="b">
        <f>COUNTIFS(Table36103[[#This Row],[Screening Results: Drug &amp; Alcohol Assessment 1]:[Other Reason 9]], "Continue with existing treatment services")&gt;0</f>
        <v>0</v>
      </c>
      <c r="E43" s="28" t="b">
        <f>COUNTIFS(Table36103[[#This Row],[Screening Results: Drug &amp; Alcohol Assessment 1]:[Other Reason 9]], "Start new service")&gt;0</f>
        <v>0</v>
      </c>
      <c r="F43" s="55"/>
      <c r="G43" s="56"/>
      <c r="H43" s="57"/>
      <c r="I43" s="57"/>
      <c r="J43" s="57"/>
      <c r="K43" s="57"/>
      <c r="L43" s="57"/>
      <c r="M43" s="57"/>
      <c r="N43" s="51"/>
      <c r="O43" s="58"/>
      <c r="P43" s="56"/>
      <c r="Q43" s="57"/>
      <c r="R43" s="57"/>
      <c r="S43" s="57"/>
      <c r="T43" s="57"/>
      <c r="U43" s="57"/>
      <c r="V43" s="57"/>
      <c r="W43" s="51"/>
      <c r="X43" s="65"/>
      <c r="Y43" s="56"/>
      <c r="Z43" s="57"/>
      <c r="AA43" s="57"/>
      <c r="AB43" s="57"/>
      <c r="AC43" s="57"/>
      <c r="AD43" s="57"/>
      <c r="AE43" s="57"/>
      <c r="AF43" s="51"/>
      <c r="AG43" s="65"/>
      <c r="AH43" s="56"/>
      <c r="AI43" s="57"/>
      <c r="AJ43" s="57"/>
      <c r="AK43" s="57"/>
      <c r="AL43" s="57"/>
      <c r="AM43" s="57"/>
      <c r="AN43" s="57"/>
      <c r="AO43" s="51"/>
      <c r="AP43" s="65"/>
      <c r="AQ43" s="56"/>
      <c r="AR43" s="57"/>
      <c r="AS43" s="57"/>
      <c r="AT43" s="57"/>
      <c r="AU43" s="57"/>
      <c r="AV43" s="57"/>
      <c r="AW43" s="57"/>
      <c r="AX43" s="51"/>
      <c r="AY43" s="65"/>
      <c r="AZ43" s="56"/>
      <c r="BA43" s="55"/>
      <c r="BB43" s="55"/>
      <c r="BC43" s="55"/>
      <c r="BD43" s="55"/>
      <c r="BE43" s="55"/>
      <c r="BF43" s="55"/>
      <c r="BG43" s="51"/>
      <c r="BH43" s="65"/>
      <c r="BI43" s="55"/>
      <c r="BJ43" s="55"/>
      <c r="BK43" s="55"/>
      <c r="BL43" s="55"/>
      <c r="BM43" s="55"/>
      <c r="BN43" s="55"/>
      <c r="BO43" s="55"/>
      <c r="BP43" s="66"/>
      <c r="BQ43" s="65"/>
      <c r="BR43" s="55"/>
      <c r="BS43" s="55"/>
      <c r="BT43" s="55"/>
      <c r="BU43" s="55"/>
      <c r="BV43" s="55"/>
      <c r="BW43" s="55"/>
      <c r="BX43" s="55"/>
      <c r="BY43" s="66"/>
      <c r="BZ43" s="65"/>
      <c r="CA43" s="55"/>
      <c r="CB43" s="55"/>
      <c r="CC43" s="55"/>
      <c r="CD43" s="55"/>
      <c r="CE43" s="55"/>
      <c r="CF43" s="55"/>
      <c r="CG43" s="55"/>
      <c r="CH43" s="55"/>
      <c r="CI43" s="55"/>
    </row>
    <row r="44" spans="1:87">
      <c r="A44" s="12" t="str">
        <f>Roster!A44</f>
        <v/>
      </c>
      <c r="B44" s="28">
        <f>Roster!C44</f>
        <v>0</v>
      </c>
      <c r="C44" s="28" t="str">
        <f>IF(COUNTIFS(Table36103[[#This Row],[Continue Existing]:[Start New]], "TRUE")=0, "YES", "NO")</f>
        <v>YES</v>
      </c>
      <c r="D44" s="28" t="b">
        <f>COUNTIFS(Table36103[[#This Row],[Screening Results: Drug &amp; Alcohol Assessment 1]:[Other Reason 9]], "Continue with existing treatment services")&gt;0</f>
        <v>0</v>
      </c>
      <c r="E44" s="28" t="b">
        <f>COUNTIFS(Table36103[[#This Row],[Screening Results: Drug &amp; Alcohol Assessment 1]:[Other Reason 9]], "Start new service")&gt;0</f>
        <v>0</v>
      </c>
      <c r="F44" s="55"/>
      <c r="G44" s="56"/>
      <c r="H44" s="57"/>
      <c r="I44" s="57"/>
      <c r="J44" s="57"/>
      <c r="K44" s="57"/>
      <c r="L44" s="57"/>
      <c r="M44" s="57"/>
      <c r="N44" s="51"/>
      <c r="O44" s="58"/>
      <c r="P44" s="56"/>
      <c r="Q44" s="57"/>
      <c r="R44" s="57"/>
      <c r="S44" s="57"/>
      <c r="T44" s="57"/>
      <c r="U44" s="57"/>
      <c r="V44" s="57"/>
      <c r="W44" s="51"/>
      <c r="X44" s="65"/>
      <c r="Y44" s="56"/>
      <c r="Z44" s="57"/>
      <c r="AA44" s="57"/>
      <c r="AB44" s="57"/>
      <c r="AC44" s="57"/>
      <c r="AD44" s="57"/>
      <c r="AE44" s="57"/>
      <c r="AF44" s="51"/>
      <c r="AG44" s="65"/>
      <c r="AH44" s="56"/>
      <c r="AI44" s="57"/>
      <c r="AJ44" s="57"/>
      <c r="AK44" s="57"/>
      <c r="AL44" s="57"/>
      <c r="AM44" s="57"/>
      <c r="AN44" s="57"/>
      <c r="AO44" s="51"/>
      <c r="AP44" s="65"/>
      <c r="AQ44" s="56"/>
      <c r="AR44" s="57"/>
      <c r="AS44" s="57"/>
      <c r="AT44" s="57"/>
      <c r="AU44" s="57"/>
      <c r="AV44" s="57"/>
      <c r="AW44" s="57"/>
      <c r="AX44" s="51"/>
      <c r="AY44" s="65"/>
      <c r="AZ44" s="56"/>
      <c r="BA44" s="55"/>
      <c r="BB44" s="55"/>
      <c r="BC44" s="55"/>
      <c r="BD44" s="55"/>
      <c r="BE44" s="55"/>
      <c r="BF44" s="55"/>
      <c r="BG44" s="51"/>
      <c r="BH44" s="65"/>
      <c r="BI44" s="55"/>
      <c r="BJ44" s="55"/>
      <c r="BK44" s="55"/>
      <c r="BL44" s="55"/>
      <c r="BM44" s="55"/>
      <c r="BN44" s="55"/>
      <c r="BO44" s="55"/>
      <c r="BP44" s="66"/>
      <c r="BQ44" s="65"/>
      <c r="BR44" s="55"/>
      <c r="BS44" s="55"/>
      <c r="BT44" s="55"/>
      <c r="BU44" s="55"/>
      <c r="BV44" s="55"/>
      <c r="BW44" s="55"/>
      <c r="BX44" s="55"/>
      <c r="BY44" s="66"/>
      <c r="BZ44" s="65"/>
      <c r="CA44" s="55"/>
      <c r="CB44" s="55"/>
      <c r="CC44" s="55"/>
      <c r="CD44" s="55"/>
      <c r="CE44" s="55"/>
      <c r="CF44" s="55"/>
      <c r="CG44" s="55"/>
      <c r="CH44" s="55"/>
      <c r="CI44" s="55"/>
    </row>
    <row r="45" spans="1:87">
      <c r="A45" s="12" t="str">
        <f>Roster!A45</f>
        <v/>
      </c>
      <c r="B45" s="28">
        <f>Roster!C45</f>
        <v>0</v>
      </c>
      <c r="C45" s="28" t="str">
        <f>IF(COUNTIFS(Table36103[[#This Row],[Continue Existing]:[Start New]], "TRUE")=0, "YES", "NO")</f>
        <v>YES</v>
      </c>
      <c r="D45" s="28" t="b">
        <f>COUNTIFS(Table36103[[#This Row],[Screening Results: Drug &amp; Alcohol Assessment 1]:[Other Reason 9]], "Continue with existing treatment services")&gt;0</f>
        <v>0</v>
      </c>
      <c r="E45" s="28" t="b">
        <f>COUNTIFS(Table36103[[#This Row],[Screening Results: Drug &amp; Alcohol Assessment 1]:[Other Reason 9]], "Start new service")&gt;0</f>
        <v>0</v>
      </c>
      <c r="F45" s="55"/>
      <c r="G45" s="56"/>
      <c r="H45" s="57"/>
      <c r="I45" s="57"/>
      <c r="J45" s="57"/>
      <c r="K45" s="57"/>
      <c r="L45" s="57"/>
      <c r="M45" s="57"/>
      <c r="N45" s="51"/>
      <c r="O45" s="58"/>
      <c r="P45" s="56"/>
      <c r="Q45" s="57"/>
      <c r="R45" s="57"/>
      <c r="S45" s="57"/>
      <c r="T45" s="57"/>
      <c r="U45" s="57"/>
      <c r="V45" s="57"/>
      <c r="W45" s="51"/>
      <c r="X45" s="65"/>
      <c r="Y45" s="56"/>
      <c r="Z45" s="57"/>
      <c r="AA45" s="57"/>
      <c r="AB45" s="57"/>
      <c r="AC45" s="57"/>
      <c r="AD45" s="57"/>
      <c r="AE45" s="57"/>
      <c r="AF45" s="51"/>
      <c r="AG45" s="65"/>
      <c r="AH45" s="56"/>
      <c r="AI45" s="57"/>
      <c r="AJ45" s="57"/>
      <c r="AK45" s="57"/>
      <c r="AL45" s="57"/>
      <c r="AM45" s="57"/>
      <c r="AN45" s="57"/>
      <c r="AO45" s="51"/>
      <c r="AP45" s="65"/>
      <c r="AQ45" s="56"/>
      <c r="AR45" s="57"/>
      <c r="AS45" s="57"/>
      <c r="AT45" s="57"/>
      <c r="AU45" s="57"/>
      <c r="AV45" s="57"/>
      <c r="AW45" s="57"/>
      <c r="AX45" s="51"/>
      <c r="AY45" s="65"/>
      <c r="AZ45" s="56"/>
      <c r="BA45" s="55"/>
      <c r="BB45" s="55"/>
      <c r="BC45" s="55"/>
      <c r="BD45" s="55"/>
      <c r="BE45" s="55"/>
      <c r="BF45" s="55"/>
      <c r="BG45" s="51"/>
      <c r="BH45" s="65"/>
      <c r="BI45" s="55"/>
      <c r="BJ45" s="55"/>
      <c r="BK45" s="55"/>
      <c r="BL45" s="55"/>
      <c r="BM45" s="55"/>
      <c r="BN45" s="55"/>
      <c r="BO45" s="55"/>
      <c r="BP45" s="66"/>
      <c r="BQ45" s="65"/>
      <c r="BR45" s="55"/>
      <c r="BS45" s="55"/>
      <c r="BT45" s="55"/>
      <c r="BU45" s="55"/>
      <c r="BV45" s="55"/>
      <c r="BW45" s="55"/>
      <c r="BX45" s="55"/>
      <c r="BY45" s="66"/>
      <c r="BZ45" s="65"/>
      <c r="CA45" s="55"/>
      <c r="CB45" s="55"/>
      <c r="CC45" s="55"/>
      <c r="CD45" s="55"/>
      <c r="CE45" s="55"/>
      <c r="CF45" s="55"/>
      <c r="CG45" s="55"/>
      <c r="CH45" s="55"/>
      <c r="CI45" s="55"/>
    </row>
    <row r="46" spans="1:87">
      <c r="A46" s="12" t="str">
        <f>Roster!A46</f>
        <v/>
      </c>
      <c r="B46" s="28">
        <f>Roster!C46</f>
        <v>0</v>
      </c>
      <c r="C46" s="28" t="str">
        <f>IF(COUNTIFS(Table36103[[#This Row],[Continue Existing]:[Start New]], "TRUE")=0, "YES", "NO")</f>
        <v>YES</v>
      </c>
      <c r="D46" s="28" t="b">
        <f>COUNTIFS(Table36103[[#This Row],[Screening Results: Drug &amp; Alcohol Assessment 1]:[Other Reason 9]], "Continue with existing treatment services")&gt;0</f>
        <v>0</v>
      </c>
      <c r="E46" s="28" t="b">
        <f>COUNTIFS(Table36103[[#This Row],[Screening Results: Drug &amp; Alcohol Assessment 1]:[Other Reason 9]], "Start new service")&gt;0</f>
        <v>0</v>
      </c>
      <c r="F46" s="55"/>
      <c r="G46" s="56"/>
      <c r="H46" s="57"/>
      <c r="I46" s="57"/>
      <c r="J46" s="57"/>
      <c r="K46" s="57"/>
      <c r="L46" s="57"/>
      <c r="M46" s="57"/>
      <c r="N46" s="51"/>
      <c r="O46" s="58"/>
      <c r="P46" s="56"/>
      <c r="Q46" s="57"/>
      <c r="R46" s="57"/>
      <c r="S46" s="57"/>
      <c r="T46" s="57"/>
      <c r="U46" s="57"/>
      <c r="V46" s="57"/>
      <c r="W46" s="51"/>
      <c r="X46" s="65"/>
      <c r="Y46" s="56"/>
      <c r="Z46" s="57"/>
      <c r="AA46" s="57"/>
      <c r="AB46" s="57"/>
      <c r="AC46" s="57"/>
      <c r="AD46" s="57"/>
      <c r="AE46" s="57"/>
      <c r="AF46" s="51"/>
      <c r="AG46" s="65"/>
      <c r="AH46" s="56"/>
      <c r="AI46" s="57"/>
      <c r="AJ46" s="57"/>
      <c r="AK46" s="57"/>
      <c r="AL46" s="57"/>
      <c r="AM46" s="57"/>
      <c r="AN46" s="57"/>
      <c r="AO46" s="51"/>
      <c r="AP46" s="65"/>
      <c r="AQ46" s="56"/>
      <c r="AR46" s="57"/>
      <c r="AS46" s="57"/>
      <c r="AT46" s="57"/>
      <c r="AU46" s="57"/>
      <c r="AV46" s="57"/>
      <c r="AW46" s="57"/>
      <c r="AX46" s="51"/>
      <c r="AY46" s="65"/>
      <c r="AZ46" s="56"/>
      <c r="BA46" s="55"/>
      <c r="BB46" s="55"/>
      <c r="BC46" s="55"/>
      <c r="BD46" s="55"/>
      <c r="BE46" s="55"/>
      <c r="BF46" s="55"/>
      <c r="BG46" s="51"/>
      <c r="BH46" s="65"/>
      <c r="BI46" s="55"/>
      <c r="BJ46" s="55"/>
      <c r="BK46" s="55"/>
      <c r="BL46" s="55"/>
      <c r="BM46" s="55"/>
      <c r="BN46" s="55"/>
      <c r="BO46" s="55"/>
      <c r="BP46" s="66"/>
      <c r="BQ46" s="65"/>
      <c r="BR46" s="55"/>
      <c r="BS46" s="55"/>
      <c r="BT46" s="55"/>
      <c r="BU46" s="55"/>
      <c r="BV46" s="55"/>
      <c r="BW46" s="55"/>
      <c r="BX46" s="55"/>
      <c r="BY46" s="66"/>
      <c r="BZ46" s="65"/>
      <c r="CA46" s="55"/>
      <c r="CB46" s="55"/>
      <c r="CC46" s="55"/>
      <c r="CD46" s="55"/>
      <c r="CE46" s="55"/>
      <c r="CF46" s="55"/>
      <c r="CG46" s="55"/>
      <c r="CH46" s="55"/>
      <c r="CI46" s="55"/>
    </row>
    <row r="47" spans="1:87">
      <c r="A47" s="12" t="str">
        <f>Roster!A47</f>
        <v/>
      </c>
      <c r="B47" s="28">
        <f>Roster!C47</f>
        <v>0</v>
      </c>
      <c r="C47" s="28" t="str">
        <f>IF(COUNTIFS(Table36103[[#This Row],[Continue Existing]:[Start New]], "TRUE")=0, "YES", "NO")</f>
        <v>YES</v>
      </c>
      <c r="D47" s="28" t="b">
        <f>COUNTIFS(Table36103[[#This Row],[Screening Results: Drug &amp; Alcohol Assessment 1]:[Other Reason 9]], "Continue with existing treatment services")&gt;0</f>
        <v>0</v>
      </c>
      <c r="E47" s="28" t="b">
        <f>COUNTIFS(Table36103[[#This Row],[Screening Results: Drug &amp; Alcohol Assessment 1]:[Other Reason 9]], "Start new service")&gt;0</f>
        <v>0</v>
      </c>
      <c r="F47" s="55"/>
      <c r="G47" s="56"/>
      <c r="H47" s="57"/>
      <c r="I47" s="57"/>
      <c r="J47" s="57"/>
      <c r="K47" s="57"/>
      <c r="L47" s="57"/>
      <c r="M47" s="57"/>
      <c r="N47" s="51"/>
      <c r="O47" s="58"/>
      <c r="P47" s="56"/>
      <c r="Q47" s="57"/>
      <c r="R47" s="57"/>
      <c r="S47" s="57"/>
      <c r="T47" s="57"/>
      <c r="U47" s="57"/>
      <c r="V47" s="57"/>
      <c r="W47" s="51"/>
      <c r="X47" s="65"/>
      <c r="Y47" s="56"/>
      <c r="Z47" s="57"/>
      <c r="AA47" s="57"/>
      <c r="AB47" s="57"/>
      <c r="AC47" s="57"/>
      <c r="AD47" s="57"/>
      <c r="AE47" s="57"/>
      <c r="AF47" s="51"/>
      <c r="AG47" s="65"/>
      <c r="AH47" s="56"/>
      <c r="AI47" s="57"/>
      <c r="AJ47" s="57"/>
      <c r="AK47" s="57"/>
      <c r="AL47" s="57"/>
      <c r="AM47" s="57"/>
      <c r="AN47" s="57"/>
      <c r="AO47" s="51"/>
      <c r="AP47" s="65"/>
      <c r="AQ47" s="56"/>
      <c r="AR47" s="57"/>
      <c r="AS47" s="57"/>
      <c r="AT47" s="57"/>
      <c r="AU47" s="57"/>
      <c r="AV47" s="57"/>
      <c r="AW47" s="57"/>
      <c r="AX47" s="51"/>
      <c r="AY47" s="65"/>
      <c r="AZ47" s="56"/>
      <c r="BA47" s="55"/>
      <c r="BB47" s="55"/>
      <c r="BC47" s="55"/>
      <c r="BD47" s="55"/>
      <c r="BE47" s="55"/>
      <c r="BF47" s="55"/>
      <c r="BG47" s="51"/>
      <c r="BH47" s="65"/>
      <c r="BI47" s="55"/>
      <c r="BJ47" s="55"/>
      <c r="BK47" s="55"/>
      <c r="BL47" s="55"/>
      <c r="BM47" s="55"/>
      <c r="BN47" s="55"/>
      <c r="BO47" s="55"/>
      <c r="BP47" s="66"/>
      <c r="BQ47" s="65"/>
      <c r="BR47" s="55"/>
      <c r="BS47" s="55"/>
      <c r="BT47" s="55"/>
      <c r="BU47" s="55"/>
      <c r="BV47" s="55"/>
      <c r="BW47" s="55"/>
      <c r="BX47" s="55"/>
      <c r="BY47" s="66"/>
      <c r="BZ47" s="65"/>
      <c r="CA47" s="55"/>
      <c r="CB47" s="55"/>
      <c r="CC47" s="55"/>
      <c r="CD47" s="55"/>
      <c r="CE47" s="55"/>
      <c r="CF47" s="55"/>
      <c r="CG47" s="55"/>
      <c r="CH47" s="55"/>
      <c r="CI47" s="55"/>
    </row>
    <row r="48" spans="1:87">
      <c r="A48" s="12" t="str">
        <f>Roster!A48</f>
        <v/>
      </c>
      <c r="B48" s="28">
        <f>Roster!C48</f>
        <v>0</v>
      </c>
      <c r="C48" s="28" t="str">
        <f>IF(COUNTIFS(Table36103[[#This Row],[Continue Existing]:[Start New]], "TRUE")=0, "YES", "NO")</f>
        <v>YES</v>
      </c>
      <c r="D48" s="28" t="b">
        <f>COUNTIFS(Table36103[[#This Row],[Screening Results: Drug &amp; Alcohol Assessment 1]:[Other Reason 9]], "Continue with existing treatment services")&gt;0</f>
        <v>0</v>
      </c>
      <c r="E48" s="28" t="b">
        <f>COUNTIFS(Table36103[[#This Row],[Screening Results: Drug &amp; Alcohol Assessment 1]:[Other Reason 9]], "Start new service")&gt;0</f>
        <v>0</v>
      </c>
      <c r="F48" s="55"/>
      <c r="G48" s="56"/>
      <c r="H48" s="57"/>
      <c r="I48" s="57"/>
      <c r="J48" s="57"/>
      <c r="K48" s="57"/>
      <c r="L48" s="57"/>
      <c r="M48" s="57"/>
      <c r="N48" s="51"/>
      <c r="O48" s="58"/>
      <c r="P48" s="56"/>
      <c r="Q48" s="57"/>
      <c r="R48" s="57"/>
      <c r="S48" s="57"/>
      <c r="T48" s="57"/>
      <c r="U48" s="57"/>
      <c r="V48" s="57"/>
      <c r="W48" s="51"/>
      <c r="X48" s="65"/>
      <c r="Y48" s="56"/>
      <c r="Z48" s="57"/>
      <c r="AA48" s="57"/>
      <c r="AB48" s="57"/>
      <c r="AC48" s="57"/>
      <c r="AD48" s="57"/>
      <c r="AE48" s="57"/>
      <c r="AF48" s="51"/>
      <c r="AG48" s="65"/>
      <c r="AH48" s="56"/>
      <c r="AI48" s="57"/>
      <c r="AJ48" s="57"/>
      <c r="AK48" s="57"/>
      <c r="AL48" s="57"/>
      <c r="AM48" s="57"/>
      <c r="AN48" s="57"/>
      <c r="AO48" s="51"/>
      <c r="AP48" s="65"/>
      <c r="AQ48" s="56"/>
      <c r="AR48" s="57"/>
      <c r="AS48" s="57"/>
      <c r="AT48" s="57"/>
      <c r="AU48" s="57"/>
      <c r="AV48" s="57"/>
      <c r="AW48" s="57"/>
      <c r="AX48" s="51"/>
      <c r="AY48" s="65"/>
      <c r="AZ48" s="56"/>
      <c r="BA48" s="55"/>
      <c r="BB48" s="55"/>
      <c r="BC48" s="55"/>
      <c r="BD48" s="55"/>
      <c r="BE48" s="55"/>
      <c r="BF48" s="55"/>
      <c r="BG48" s="51"/>
      <c r="BH48" s="65"/>
      <c r="BI48" s="55"/>
      <c r="BJ48" s="55"/>
      <c r="BK48" s="55"/>
      <c r="BL48" s="55"/>
      <c r="BM48" s="55"/>
      <c r="BN48" s="55"/>
      <c r="BO48" s="55"/>
      <c r="BP48" s="66"/>
      <c r="BQ48" s="65"/>
      <c r="BR48" s="55"/>
      <c r="BS48" s="55"/>
      <c r="BT48" s="55"/>
      <c r="BU48" s="55"/>
      <c r="BV48" s="55"/>
      <c r="BW48" s="55"/>
      <c r="BX48" s="55"/>
      <c r="BY48" s="66"/>
      <c r="BZ48" s="65"/>
      <c r="CA48" s="55"/>
      <c r="CB48" s="55"/>
      <c r="CC48" s="55"/>
      <c r="CD48" s="55"/>
      <c r="CE48" s="55"/>
      <c r="CF48" s="55"/>
      <c r="CG48" s="55"/>
      <c r="CH48" s="55"/>
      <c r="CI48" s="55"/>
    </row>
    <row r="49" spans="1:87">
      <c r="A49" s="12" t="str">
        <f>Roster!A49</f>
        <v/>
      </c>
      <c r="B49" s="28">
        <f>Roster!C49</f>
        <v>0</v>
      </c>
      <c r="C49" s="28" t="str">
        <f>IF(COUNTIFS(Table36103[[#This Row],[Continue Existing]:[Start New]], "TRUE")=0, "YES", "NO")</f>
        <v>YES</v>
      </c>
      <c r="D49" s="28" t="b">
        <f>COUNTIFS(Table36103[[#This Row],[Screening Results: Drug &amp; Alcohol Assessment 1]:[Other Reason 9]], "Continue with existing treatment services")&gt;0</f>
        <v>0</v>
      </c>
      <c r="E49" s="28" t="b">
        <f>COUNTIFS(Table36103[[#This Row],[Screening Results: Drug &amp; Alcohol Assessment 1]:[Other Reason 9]], "Start new service")&gt;0</f>
        <v>0</v>
      </c>
      <c r="F49" s="55"/>
      <c r="G49" s="56"/>
      <c r="H49" s="57"/>
      <c r="I49" s="57"/>
      <c r="J49" s="57"/>
      <c r="K49" s="57"/>
      <c r="L49" s="57"/>
      <c r="M49" s="57"/>
      <c r="N49" s="51"/>
      <c r="O49" s="58"/>
      <c r="P49" s="56"/>
      <c r="Q49" s="57"/>
      <c r="R49" s="57"/>
      <c r="S49" s="57"/>
      <c r="T49" s="57"/>
      <c r="U49" s="57"/>
      <c r="V49" s="57"/>
      <c r="W49" s="51"/>
      <c r="X49" s="65"/>
      <c r="Y49" s="56"/>
      <c r="Z49" s="57"/>
      <c r="AA49" s="57"/>
      <c r="AB49" s="57"/>
      <c r="AC49" s="57"/>
      <c r="AD49" s="57"/>
      <c r="AE49" s="57"/>
      <c r="AF49" s="51"/>
      <c r="AG49" s="65"/>
      <c r="AH49" s="56"/>
      <c r="AI49" s="57"/>
      <c r="AJ49" s="57"/>
      <c r="AK49" s="57"/>
      <c r="AL49" s="57"/>
      <c r="AM49" s="57"/>
      <c r="AN49" s="57"/>
      <c r="AO49" s="51"/>
      <c r="AP49" s="65"/>
      <c r="AQ49" s="56"/>
      <c r="AR49" s="57"/>
      <c r="AS49" s="57"/>
      <c r="AT49" s="57"/>
      <c r="AU49" s="57"/>
      <c r="AV49" s="57"/>
      <c r="AW49" s="57"/>
      <c r="AX49" s="51"/>
      <c r="AY49" s="65"/>
      <c r="AZ49" s="56"/>
      <c r="BA49" s="55"/>
      <c r="BB49" s="55"/>
      <c r="BC49" s="55"/>
      <c r="BD49" s="55"/>
      <c r="BE49" s="55"/>
      <c r="BF49" s="55"/>
      <c r="BG49" s="51"/>
      <c r="BH49" s="65"/>
      <c r="BI49" s="55"/>
      <c r="BJ49" s="55"/>
      <c r="BK49" s="55"/>
      <c r="BL49" s="55"/>
      <c r="BM49" s="55"/>
      <c r="BN49" s="55"/>
      <c r="BO49" s="55"/>
      <c r="BP49" s="66"/>
      <c r="BQ49" s="65"/>
      <c r="BR49" s="55"/>
      <c r="BS49" s="55"/>
      <c r="BT49" s="55"/>
      <c r="BU49" s="55"/>
      <c r="BV49" s="55"/>
      <c r="BW49" s="55"/>
      <c r="BX49" s="55"/>
      <c r="BY49" s="66"/>
      <c r="BZ49" s="65"/>
      <c r="CA49" s="55"/>
      <c r="CB49" s="55"/>
      <c r="CC49" s="55"/>
      <c r="CD49" s="55"/>
      <c r="CE49" s="55"/>
      <c r="CF49" s="55"/>
      <c r="CG49" s="55"/>
      <c r="CH49" s="55"/>
      <c r="CI49" s="55"/>
    </row>
    <row r="50" spans="1:87">
      <c r="A50" s="12" t="str">
        <f>Roster!A50</f>
        <v/>
      </c>
      <c r="B50" s="28">
        <f>Roster!C50</f>
        <v>0</v>
      </c>
      <c r="C50" s="28" t="str">
        <f>IF(COUNTIFS(Table36103[[#This Row],[Continue Existing]:[Start New]], "TRUE")=0, "YES", "NO")</f>
        <v>YES</v>
      </c>
      <c r="D50" s="28" t="b">
        <f>COUNTIFS(Table36103[[#This Row],[Screening Results: Drug &amp; Alcohol Assessment 1]:[Other Reason 9]], "Continue with existing treatment services")&gt;0</f>
        <v>0</v>
      </c>
      <c r="E50" s="28" t="b">
        <f>COUNTIFS(Table36103[[#This Row],[Screening Results: Drug &amp; Alcohol Assessment 1]:[Other Reason 9]], "Start new service")&gt;0</f>
        <v>0</v>
      </c>
      <c r="F50" s="55"/>
      <c r="G50" s="56"/>
      <c r="H50" s="57"/>
      <c r="I50" s="57"/>
      <c r="J50" s="57"/>
      <c r="K50" s="57"/>
      <c r="L50" s="57"/>
      <c r="M50" s="57"/>
      <c r="N50" s="51"/>
      <c r="O50" s="58"/>
      <c r="P50" s="56"/>
      <c r="Q50" s="57"/>
      <c r="R50" s="57"/>
      <c r="S50" s="57"/>
      <c r="T50" s="57"/>
      <c r="U50" s="57"/>
      <c r="V50" s="57"/>
      <c r="W50" s="51"/>
      <c r="X50" s="65"/>
      <c r="Y50" s="56"/>
      <c r="Z50" s="57"/>
      <c r="AA50" s="57"/>
      <c r="AB50" s="57"/>
      <c r="AC50" s="57"/>
      <c r="AD50" s="57"/>
      <c r="AE50" s="57"/>
      <c r="AF50" s="51"/>
      <c r="AG50" s="65"/>
      <c r="AH50" s="56"/>
      <c r="AI50" s="57"/>
      <c r="AJ50" s="57"/>
      <c r="AK50" s="57"/>
      <c r="AL50" s="57"/>
      <c r="AM50" s="57"/>
      <c r="AN50" s="57"/>
      <c r="AO50" s="51"/>
      <c r="AP50" s="65"/>
      <c r="AQ50" s="56"/>
      <c r="AR50" s="57"/>
      <c r="AS50" s="57"/>
      <c r="AT50" s="57"/>
      <c r="AU50" s="57"/>
      <c r="AV50" s="57"/>
      <c r="AW50" s="57"/>
      <c r="AX50" s="51"/>
      <c r="AY50" s="65"/>
      <c r="AZ50" s="56"/>
      <c r="BA50" s="55"/>
      <c r="BB50" s="55"/>
      <c r="BC50" s="55"/>
      <c r="BD50" s="55"/>
      <c r="BE50" s="55"/>
      <c r="BF50" s="55"/>
      <c r="BG50" s="51"/>
      <c r="BH50" s="65"/>
      <c r="BI50" s="55"/>
      <c r="BJ50" s="55"/>
      <c r="BK50" s="55"/>
      <c r="BL50" s="55"/>
      <c r="BM50" s="55"/>
      <c r="BN50" s="55"/>
      <c r="BO50" s="55"/>
      <c r="BP50" s="66"/>
      <c r="BQ50" s="65"/>
      <c r="BR50" s="55"/>
      <c r="BS50" s="55"/>
      <c r="BT50" s="55"/>
      <c r="BU50" s="55"/>
      <c r="BV50" s="55"/>
      <c r="BW50" s="55"/>
      <c r="BX50" s="55"/>
      <c r="BY50" s="66"/>
      <c r="BZ50" s="65"/>
      <c r="CA50" s="55"/>
      <c r="CB50" s="55"/>
      <c r="CC50" s="55"/>
      <c r="CD50" s="55"/>
      <c r="CE50" s="55"/>
      <c r="CF50" s="55"/>
      <c r="CG50" s="55"/>
      <c r="CH50" s="55"/>
      <c r="CI50" s="55"/>
    </row>
    <row r="51" spans="1:87">
      <c r="A51" s="12" t="str">
        <f>Roster!A51</f>
        <v/>
      </c>
      <c r="B51" s="28">
        <f>Roster!C51</f>
        <v>0</v>
      </c>
      <c r="C51" s="28" t="str">
        <f>IF(COUNTIFS(Table36103[[#This Row],[Continue Existing]:[Start New]], "TRUE")=0, "YES", "NO")</f>
        <v>YES</v>
      </c>
      <c r="D51" s="28" t="b">
        <f>COUNTIFS(Table36103[[#This Row],[Screening Results: Drug &amp; Alcohol Assessment 1]:[Other Reason 9]], "Continue with existing treatment services")&gt;0</f>
        <v>0</v>
      </c>
      <c r="E51" s="28" t="b">
        <f>COUNTIFS(Table36103[[#This Row],[Screening Results: Drug &amp; Alcohol Assessment 1]:[Other Reason 9]], "Start new service")&gt;0</f>
        <v>0</v>
      </c>
      <c r="F51" s="55"/>
      <c r="G51" s="56"/>
      <c r="H51" s="57"/>
      <c r="I51" s="57"/>
      <c r="J51" s="57"/>
      <c r="K51" s="57"/>
      <c r="L51" s="57"/>
      <c r="M51" s="57"/>
      <c r="N51" s="51"/>
      <c r="O51" s="58"/>
      <c r="P51" s="56"/>
      <c r="Q51" s="57"/>
      <c r="R51" s="57"/>
      <c r="S51" s="57"/>
      <c r="T51" s="57"/>
      <c r="U51" s="57"/>
      <c r="V51" s="57"/>
      <c r="W51" s="51"/>
      <c r="X51" s="65"/>
      <c r="Y51" s="56"/>
      <c r="Z51" s="57"/>
      <c r="AA51" s="57"/>
      <c r="AB51" s="57"/>
      <c r="AC51" s="57"/>
      <c r="AD51" s="57"/>
      <c r="AE51" s="57"/>
      <c r="AF51" s="51"/>
      <c r="AG51" s="65"/>
      <c r="AH51" s="56"/>
      <c r="AI51" s="57"/>
      <c r="AJ51" s="57"/>
      <c r="AK51" s="57"/>
      <c r="AL51" s="57"/>
      <c r="AM51" s="57"/>
      <c r="AN51" s="57"/>
      <c r="AO51" s="51"/>
      <c r="AP51" s="65"/>
      <c r="AQ51" s="56"/>
      <c r="AR51" s="57"/>
      <c r="AS51" s="57"/>
      <c r="AT51" s="57"/>
      <c r="AU51" s="57"/>
      <c r="AV51" s="57"/>
      <c r="AW51" s="57"/>
      <c r="AX51" s="51"/>
      <c r="AY51" s="65"/>
      <c r="AZ51" s="56"/>
      <c r="BA51" s="55"/>
      <c r="BB51" s="55"/>
      <c r="BC51" s="55"/>
      <c r="BD51" s="55"/>
      <c r="BE51" s="55"/>
      <c r="BF51" s="55"/>
      <c r="BG51" s="51"/>
      <c r="BH51" s="65"/>
      <c r="BI51" s="55"/>
      <c r="BJ51" s="55"/>
      <c r="BK51" s="55"/>
      <c r="BL51" s="55"/>
      <c r="BM51" s="55"/>
      <c r="BN51" s="55"/>
      <c r="BO51" s="55"/>
      <c r="BP51" s="66"/>
      <c r="BQ51" s="65"/>
      <c r="BR51" s="55"/>
      <c r="BS51" s="55"/>
      <c r="BT51" s="55"/>
      <c r="BU51" s="55"/>
      <c r="BV51" s="55"/>
      <c r="BW51" s="55"/>
      <c r="BX51" s="55"/>
      <c r="BY51" s="66"/>
      <c r="BZ51" s="65"/>
      <c r="CA51" s="55"/>
      <c r="CB51" s="55"/>
      <c r="CC51" s="55"/>
      <c r="CD51" s="55"/>
      <c r="CE51" s="55"/>
      <c r="CF51" s="55"/>
      <c r="CG51" s="55"/>
      <c r="CH51" s="55"/>
      <c r="CI51" s="55"/>
    </row>
    <row r="52" spans="1:87">
      <c r="A52" s="12" t="str">
        <f>Roster!A52</f>
        <v/>
      </c>
      <c r="B52" s="28">
        <f>Roster!C52</f>
        <v>0</v>
      </c>
      <c r="C52" s="28" t="str">
        <f>IF(COUNTIFS(Table36103[[#This Row],[Continue Existing]:[Start New]], "TRUE")=0, "YES", "NO")</f>
        <v>YES</v>
      </c>
      <c r="D52" s="28" t="b">
        <f>COUNTIFS(Table36103[[#This Row],[Screening Results: Drug &amp; Alcohol Assessment 1]:[Other Reason 9]], "Continue with existing treatment services")&gt;0</f>
        <v>0</v>
      </c>
      <c r="E52" s="28" t="b">
        <f>COUNTIFS(Table36103[[#This Row],[Screening Results: Drug &amp; Alcohol Assessment 1]:[Other Reason 9]], "Start new service")&gt;0</f>
        <v>0</v>
      </c>
      <c r="F52" s="55"/>
      <c r="G52" s="56"/>
      <c r="H52" s="57"/>
      <c r="I52" s="57"/>
      <c r="J52" s="57"/>
      <c r="K52" s="57"/>
      <c r="L52" s="57"/>
      <c r="M52" s="57"/>
      <c r="N52" s="51"/>
      <c r="O52" s="58"/>
      <c r="P52" s="56"/>
      <c r="Q52" s="57"/>
      <c r="R52" s="57"/>
      <c r="S52" s="57"/>
      <c r="T52" s="57"/>
      <c r="U52" s="57"/>
      <c r="V52" s="57"/>
      <c r="W52" s="51"/>
      <c r="X52" s="65"/>
      <c r="Y52" s="56"/>
      <c r="Z52" s="57"/>
      <c r="AA52" s="57"/>
      <c r="AB52" s="57"/>
      <c r="AC52" s="57"/>
      <c r="AD52" s="57"/>
      <c r="AE52" s="57"/>
      <c r="AF52" s="51"/>
      <c r="AG52" s="65"/>
      <c r="AH52" s="56"/>
      <c r="AI52" s="57"/>
      <c r="AJ52" s="57"/>
      <c r="AK52" s="57"/>
      <c r="AL52" s="57"/>
      <c r="AM52" s="57"/>
      <c r="AN52" s="57"/>
      <c r="AO52" s="51"/>
      <c r="AP52" s="65"/>
      <c r="AQ52" s="56"/>
      <c r="AR52" s="57"/>
      <c r="AS52" s="57"/>
      <c r="AT52" s="57"/>
      <c r="AU52" s="57"/>
      <c r="AV52" s="57"/>
      <c r="AW52" s="57"/>
      <c r="AX52" s="51"/>
      <c r="AY52" s="65"/>
      <c r="AZ52" s="56"/>
      <c r="BA52" s="55"/>
      <c r="BB52" s="55"/>
      <c r="BC52" s="55"/>
      <c r="BD52" s="55"/>
      <c r="BE52" s="55"/>
      <c r="BF52" s="55"/>
      <c r="BG52" s="51"/>
      <c r="BH52" s="65"/>
      <c r="BI52" s="55"/>
      <c r="BJ52" s="55"/>
      <c r="BK52" s="55"/>
      <c r="BL52" s="55"/>
      <c r="BM52" s="55"/>
      <c r="BN52" s="55"/>
      <c r="BO52" s="55"/>
      <c r="BP52" s="66"/>
      <c r="BQ52" s="65"/>
      <c r="BR52" s="55"/>
      <c r="BS52" s="55"/>
      <c r="BT52" s="55"/>
      <c r="BU52" s="55"/>
      <c r="BV52" s="55"/>
      <c r="BW52" s="55"/>
      <c r="BX52" s="55"/>
      <c r="BY52" s="66"/>
      <c r="BZ52" s="65"/>
      <c r="CA52" s="55"/>
      <c r="CB52" s="55"/>
      <c r="CC52" s="55"/>
      <c r="CD52" s="55"/>
      <c r="CE52" s="55"/>
      <c r="CF52" s="55"/>
      <c r="CG52" s="55"/>
      <c r="CH52" s="55"/>
      <c r="CI52" s="55"/>
    </row>
    <row r="53" spans="1:87">
      <c r="A53" s="12" t="str">
        <f>Roster!A53</f>
        <v/>
      </c>
      <c r="B53" s="28">
        <f>Roster!C53</f>
        <v>0</v>
      </c>
      <c r="C53" s="28" t="str">
        <f>IF(COUNTIFS(Table36103[[#This Row],[Continue Existing]:[Start New]], "TRUE")=0, "YES", "NO")</f>
        <v>YES</v>
      </c>
      <c r="D53" s="28" t="b">
        <f>COUNTIFS(Table36103[[#This Row],[Screening Results: Drug &amp; Alcohol Assessment 1]:[Other Reason 9]], "Continue with existing treatment services")&gt;0</f>
        <v>0</v>
      </c>
      <c r="E53" s="28" t="b">
        <f>COUNTIFS(Table36103[[#This Row],[Screening Results: Drug &amp; Alcohol Assessment 1]:[Other Reason 9]], "Start new service")&gt;0</f>
        <v>0</v>
      </c>
      <c r="F53" s="55"/>
      <c r="G53" s="56"/>
      <c r="H53" s="57"/>
      <c r="I53" s="57"/>
      <c r="J53" s="57"/>
      <c r="K53" s="57"/>
      <c r="L53" s="57"/>
      <c r="M53" s="57"/>
      <c r="N53" s="45"/>
      <c r="O53" s="58"/>
      <c r="P53" s="56"/>
      <c r="Q53" s="57"/>
      <c r="R53" s="57"/>
      <c r="S53" s="57"/>
      <c r="T53" s="57"/>
      <c r="U53" s="57"/>
      <c r="V53" s="57"/>
      <c r="W53" s="45"/>
      <c r="X53" s="65"/>
      <c r="Y53" s="56"/>
      <c r="Z53" s="57"/>
      <c r="AA53" s="57"/>
      <c r="AB53" s="57"/>
      <c r="AC53" s="57"/>
      <c r="AD53" s="57"/>
      <c r="AE53" s="57"/>
      <c r="AF53" s="45"/>
      <c r="AG53" s="65"/>
      <c r="AH53" s="56"/>
      <c r="AI53" s="57"/>
      <c r="AJ53" s="57"/>
      <c r="AK53" s="57"/>
      <c r="AL53" s="57"/>
      <c r="AM53" s="57"/>
      <c r="AN53" s="57"/>
      <c r="AO53" s="45"/>
      <c r="AP53" s="65"/>
      <c r="AQ53" s="56"/>
      <c r="AR53" s="57"/>
      <c r="AS53" s="57"/>
      <c r="AT53" s="57"/>
      <c r="AU53" s="57"/>
      <c r="AV53" s="57"/>
      <c r="AW53" s="57"/>
      <c r="AX53" s="45"/>
      <c r="AY53" s="65"/>
      <c r="AZ53" s="56"/>
      <c r="BA53" s="55"/>
      <c r="BB53" s="55"/>
      <c r="BC53" s="55"/>
      <c r="BD53" s="55"/>
      <c r="BE53" s="55"/>
      <c r="BF53" s="55"/>
      <c r="BG53" s="45"/>
      <c r="BH53" s="65"/>
      <c r="BI53" s="55"/>
      <c r="BJ53" s="55"/>
      <c r="BK53" s="55"/>
      <c r="BL53" s="55"/>
      <c r="BM53" s="55"/>
      <c r="BN53" s="55"/>
      <c r="BO53" s="55"/>
      <c r="BP53" s="55"/>
      <c r="BQ53" s="65"/>
      <c r="BR53" s="55"/>
      <c r="BS53" s="55"/>
      <c r="BT53" s="55"/>
      <c r="BU53" s="55"/>
      <c r="BV53" s="55"/>
      <c r="BW53" s="55"/>
      <c r="BX53" s="55"/>
      <c r="BY53" s="55"/>
      <c r="BZ53" s="65"/>
      <c r="CA53" s="55"/>
      <c r="CB53" s="55"/>
      <c r="CC53" s="55"/>
      <c r="CD53" s="55"/>
      <c r="CE53" s="55"/>
      <c r="CF53" s="55"/>
      <c r="CG53" s="55"/>
      <c r="CH53" s="55"/>
      <c r="CI53" s="55"/>
    </row>
    <row r="54" spans="1:87">
      <c r="A54" s="12" t="str">
        <f>Roster!A54</f>
        <v/>
      </c>
      <c r="B54" s="28">
        <f>Roster!C54</f>
        <v>0</v>
      </c>
      <c r="C54" s="28" t="str">
        <f>IF(COUNTIFS(Table36103[[#This Row],[Continue Existing]:[Start New]], "TRUE")=0, "YES", "NO")</f>
        <v>YES</v>
      </c>
      <c r="D54" s="28" t="b">
        <f>COUNTIFS(Table36103[[#This Row],[Screening Results: Drug &amp; Alcohol Assessment 1]:[Other Reason 9]], "Continue with existing treatment services")&gt;0</f>
        <v>0</v>
      </c>
      <c r="E54" s="28" t="b">
        <f>COUNTIFS(Table36103[[#This Row],[Screening Results: Drug &amp; Alcohol Assessment 1]:[Other Reason 9]], "Start new service")&gt;0</f>
        <v>0</v>
      </c>
      <c r="F54" s="55"/>
      <c r="G54" s="56"/>
      <c r="H54" s="57"/>
      <c r="I54" s="57"/>
      <c r="J54" s="57"/>
      <c r="K54" s="57"/>
      <c r="L54" s="57"/>
      <c r="M54" s="57"/>
      <c r="N54" s="45"/>
      <c r="O54" s="58"/>
      <c r="P54" s="56"/>
      <c r="Q54" s="57"/>
      <c r="R54" s="57"/>
      <c r="S54" s="57"/>
      <c r="T54" s="57"/>
      <c r="U54" s="57"/>
      <c r="V54" s="57"/>
      <c r="W54" s="45"/>
      <c r="X54" s="65"/>
      <c r="Y54" s="56"/>
      <c r="Z54" s="57"/>
      <c r="AA54" s="57"/>
      <c r="AB54" s="57"/>
      <c r="AC54" s="57"/>
      <c r="AD54" s="57"/>
      <c r="AE54" s="57"/>
      <c r="AF54" s="45"/>
      <c r="AG54" s="65"/>
      <c r="AH54" s="56"/>
      <c r="AI54" s="57"/>
      <c r="AJ54" s="57"/>
      <c r="AK54" s="57"/>
      <c r="AL54" s="57"/>
      <c r="AM54" s="57"/>
      <c r="AN54" s="57"/>
      <c r="AO54" s="45"/>
      <c r="AP54" s="65"/>
      <c r="AQ54" s="56"/>
      <c r="AR54" s="57"/>
      <c r="AS54" s="57"/>
      <c r="AT54" s="57"/>
      <c r="AU54" s="57"/>
      <c r="AV54" s="57"/>
      <c r="AW54" s="57"/>
      <c r="AX54" s="45"/>
      <c r="AY54" s="65"/>
      <c r="AZ54" s="56"/>
      <c r="BA54" s="55"/>
      <c r="BB54" s="55"/>
      <c r="BC54" s="55"/>
      <c r="BD54" s="55"/>
      <c r="BE54" s="55"/>
      <c r="BF54" s="55"/>
      <c r="BG54" s="45"/>
      <c r="BH54" s="65"/>
      <c r="BI54" s="55"/>
      <c r="BJ54" s="55"/>
      <c r="BK54" s="55"/>
      <c r="BL54" s="55"/>
      <c r="BM54" s="55"/>
      <c r="BN54" s="55"/>
      <c r="BO54" s="55"/>
      <c r="BP54" s="55"/>
      <c r="BQ54" s="65"/>
      <c r="BR54" s="55"/>
      <c r="BS54" s="55"/>
      <c r="BT54" s="55"/>
      <c r="BU54" s="55"/>
      <c r="BV54" s="55"/>
      <c r="BW54" s="55"/>
      <c r="BX54" s="55"/>
      <c r="BY54" s="55"/>
      <c r="BZ54" s="65"/>
      <c r="CA54" s="55"/>
      <c r="CB54" s="55"/>
      <c r="CC54" s="55"/>
      <c r="CD54" s="55"/>
      <c r="CE54" s="55"/>
      <c r="CF54" s="55"/>
      <c r="CG54" s="55"/>
      <c r="CH54" s="55"/>
      <c r="CI54" s="55"/>
    </row>
    <row r="55" spans="1:87">
      <c r="A55" s="12" t="str">
        <f>Roster!A55</f>
        <v/>
      </c>
      <c r="B55" s="28">
        <f>Roster!C55</f>
        <v>0</v>
      </c>
      <c r="C55" s="28" t="str">
        <f>IF(COUNTIFS(Table36103[[#This Row],[Continue Existing]:[Start New]], "TRUE")=0, "YES", "NO")</f>
        <v>YES</v>
      </c>
      <c r="D55" s="28" t="b">
        <f>COUNTIFS(Table36103[[#This Row],[Screening Results: Drug &amp; Alcohol Assessment 1]:[Other Reason 9]], "Continue with existing treatment services")&gt;0</f>
        <v>0</v>
      </c>
      <c r="E55" s="28" t="b">
        <f>COUNTIFS(Table36103[[#This Row],[Screening Results: Drug &amp; Alcohol Assessment 1]:[Other Reason 9]], "Start new service")&gt;0</f>
        <v>0</v>
      </c>
      <c r="F55" s="55"/>
      <c r="G55" s="56"/>
      <c r="H55" s="57"/>
      <c r="I55" s="57"/>
      <c r="J55" s="57"/>
      <c r="K55" s="57"/>
      <c r="L55" s="57"/>
      <c r="M55" s="57"/>
      <c r="N55" s="45"/>
      <c r="O55" s="58"/>
      <c r="P55" s="56"/>
      <c r="Q55" s="57"/>
      <c r="R55" s="57"/>
      <c r="S55" s="57"/>
      <c r="T55" s="57"/>
      <c r="U55" s="57"/>
      <c r="V55" s="57"/>
      <c r="W55" s="45"/>
      <c r="X55" s="65"/>
      <c r="Y55" s="56"/>
      <c r="Z55" s="57"/>
      <c r="AA55" s="57"/>
      <c r="AB55" s="57"/>
      <c r="AC55" s="57"/>
      <c r="AD55" s="57"/>
      <c r="AE55" s="57"/>
      <c r="AF55" s="45"/>
      <c r="AG55" s="65"/>
      <c r="AH55" s="56"/>
      <c r="AI55" s="57"/>
      <c r="AJ55" s="57"/>
      <c r="AK55" s="57"/>
      <c r="AL55" s="57"/>
      <c r="AM55" s="57"/>
      <c r="AN55" s="57"/>
      <c r="AO55" s="45"/>
      <c r="AP55" s="65"/>
      <c r="AQ55" s="56"/>
      <c r="AR55" s="57"/>
      <c r="AS55" s="57"/>
      <c r="AT55" s="57"/>
      <c r="AU55" s="57"/>
      <c r="AV55" s="57"/>
      <c r="AW55" s="57"/>
      <c r="AX55" s="45"/>
      <c r="AY55" s="65"/>
      <c r="AZ55" s="56"/>
      <c r="BA55" s="55"/>
      <c r="BB55" s="55"/>
      <c r="BC55" s="55"/>
      <c r="BD55" s="55"/>
      <c r="BE55" s="55"/>
      <c r="BF55" s="55"/>
      <c r="BG55" s="45"/>
      <c r="BH55" s="65"/>
      <c r="BI55" s="55"/>
      <c r="BJ55" s="55"/>
      <c r="BK55" s="55"/>
      <c r="BL55" s="55"/>
      <c r="BM55" s="55"/>
      <c r="BN55" s="55"/>
      <c r="BO55" s="55"/>
      <c r="BP55" s="55"/>
      <c r="BQ55" s="65"/>
      <c r="BR55" s="55"/>
      <c r="BS55" s="55"/>
      <c r="BT55" s="55"/>
      <c r="BU55" s="55"/>
      <c r="BV55" s="55"/>
      <c r="BW55" s="55"/>
      <c r="BX55" s="55"/>
      <c r="BY55" s="55"/>
      <c r="BZ55" s="65"/>
      <c r="CA55" s="55"/>
      <c r="CB55" s="55"/>
      <c r="CC55" s="55"/>
      <c r="CD55" s="55"/>
      <c r="CE55" s="55"/>
      <c r="CF55" s="55"/>
      <c r="CG55" s="55"/>
      <c r="CH55" s="55"/>
      <c r="CI55" s="55"/>
    </row>
    <row r="56" spans="1:87">
      <c r="A56" s="12" t="str">
        <f>Roster!A56</f>
        <v/>
      </c>
      <c r="B56" s="28">
        <f>Roster!C56</f>
        <v>0</v>
      </c>
      <c r="C56" s="28" t="str">
        <f>IF(COUNTIFS(Table36103[[#This Row],[Continue Existing]:[Start New]], "TRUE")=0, "YES", "NO")</f>
        <v>YES</v>
      </c>
      <c r="D56" s="28" t="b">
        <f>COUNTIFS(Table36103[[#This Row],[Screening Results: Drug &amp; Alcohol Assessment 1]:[Other Reason 9]], "Continue with existing treatment services")&gt;0</f>
        <v>0</v>
      </c>
      <c r="E56" s="28" t="b">
        <f>COUNTIFS(Table36103[[#This Row],[Screening Results: Drug &amp; Alcohol Assessment 1]:[Other Reason 9]], "Start new service")&gt;0</f>
        <v>0</v>
      </c>
      <c r="F56" s="55"/>
      <c r="G56" s="56"/>
      <c r="H56" s="57"/>
      <c r="I56" s="57"/>
      <c r="J56" s="57"/>
      <c r="K56" s="57"/>
      <c r="L56" s="57"/>
      <c r="M56" s="57"/>
      <c r="N56" s="45"/>
      <c r="O56" s="58"/>
      <c r="P56" s="56"/>
      <c r="Q56" s="57"/>
      <c r="R56" s="57"/>
      <c r="S56" s="57"/>
      <c r="T56" s="57"/>
      <c r="U56" s="57"/>
      <c r="V56" s="57"/>
      <c r="W56" s="45"/>
      <c r="X56" s="65"/>
      <c r="Y56" s="56"/>
      <c r="Z56" s="57"/>
      <c r="AA56" s="57"/>
      <c r="AB56" s="57"/>
      <c r="AC56" s="57"/>
      <c r="AD56" s="57"/>
      <c r="AE56" s="57"/>
      <c r="AF56" s="45"/>
      <c r="AG56" s="65"/>
      <c r="AH56" s="56"/>
      <c r="AI56" s="57"/>
      <c r="AJ56" s="57"/>
      <c r="AK56" s="57"/>
      <c r="AL56" s="57"/>
      <c r="AM56" s="57"/>
      <c r="AN56" s="57"/>
      <c r="AO56" s="45"/>
      <c r="AP56" s="65"/>
      <c r="AQ56" s="56"/>
      <c r="AR56" s="57"/>
      <c r="AS56" s="57"/>
      <c r="AT56" s="57"/>
      <c r="AU56" s="57"/>
      <c r="AV56" s="57"/>
      <c r="AW56" s="57"/>
      <c r="AX56" s="45"/>
      <c r="AY56" s="65"/>
      <c r="AZ56" s="56"/>
      <c r="BA56" s="55"/>
      <c r="BB56" s="55"/>
      <c r="BC56" s="55"/>
      <c r="BD56" s="55"/>
      <c r="BE56" s="55"/>
      <c r="BF56" s="55"/>
      <c r="BG56" s="45"/>
      <c r="BH56" s="65"/>
      <c r="BI56" s="55"/>
      <c r="BJ56" s="55"/>
      <c r="BK56" s="55"/>
      <c r="BL56" s="55"/>
      <c r="BM56" s="55"/>
      <c r="BN56" s="55"/>
      <c r="BO56" s="55"/>
      <c r="BP56" s="55"/>
      <c r="BQ56" s="65"/>
      <c r="BR56" s="55"/>
      <c r="BS56" s="55"/>
      <c r="BT56" s="55"/>
      <c r="BU56" s="55"/>
      <c r="BV56" s="55"/>
      <c r="BW56" s="55"/>
      <c r="BX56" s="55"/>
      <c r="BY56" s="55"/>
      <c r="BZ56" s="65"/>
      <c r="CA56" s="55"/>
      <c r="CB56" s="55"/>
      <c r="CC56" s="55"/>
      <c r="CD56" s="55"/>
      <c r="CE56" s="55"/>
      <c r="CF56" s="55"/>
      <c r="CG56" s="55"/>
      <c r="CH56" s="55"/>
      <c r="CI56" s="55"/>
    </row>
    <row r="57" spans="1:87">
      <c r="A57" s="12" t="str">
        <f>Roster!A57</f>
        <v/>
      </c>
      <c r="B57" s="28">
        <f>Roster!C57</f>
        <v>0</v>
      </c>
      <c r="C57" s="28" t="str">
        <f>IF(COUNTIFS(Table36103[[#This Row],[Continue Existing]:[Start New]], "TRUE")=0, "YES", "NO")</f>
        <v>YES</v>
      </c>
      <c r="D57" s="28" t="b">
        <f>COUNTIFS(Table36103[[#This Row],[Screening Results: Drug &amp; Alcohol Assessment 1]:[Other Reason 9]], "Continue with existing treatment services")&gt;0</f>
        <v>0</v>
      </c>
      <c r="E57" s="28" t="b">
        <f>COUNTIFS(Table36103[[#This Row],[Screening Results: Drug &amp; Alcohol Assessment 1]:[Other Reason 9]], "Start new service")&gt;0</f>
        <v>0</v>
      </c>
      <c r="F57" s="55"/>
      <c r="G57" s="56"/>
      <c r="H57" s="57"/>
      <c r="I57" s="57"/>
      <c r="J57" s="57"/>
      <c r="K57" s="57"/>
      <c r="L57" s="57"/>
      <c r="M57" s="57"/>
      <c r="N57" s="45"/>
      <c r="O57" s="58"/>
      <c r="P57" s="56"/>
      <c r="Q57" s="57"/>
      <c r="R57" s="57"/>
      <c r="S57" s="57"/>
      <c r="T57" s="57"/>
      <c r="U57" s="57"/>
      <c r="V57" s="57"/>
      <c r="W57" s="45"/>
      <c r="X57" s="65"/>
      <c r="Y57" s="56"/>
      <c r="Z57" s="57"/>
      <c r="AA57" s="57"/>
      <c r="AB57" s="57"/>
      <c r="AC57" s="57"/>
      <c r="AD57" s="57"/>
      <c r="AE57" s="57"/>
      <c r="AF57" s="45"/>
      <c r="AG57" s="65"/>
      <c r="AH57" s="56"/>
      <c r="AI57" s="57"/>
      <c r="AJ57" s="57"/>
      <c r="AK57" s="57"/>
      <c r="AL57" s="57"/>
      <c r="AM57" s="57"/>
      <c r="AN57" s="57"/>
      <c r="AO57" s="45"/>
      <c r="AP57" s="65"/>
      <c r="AQ57" s="56"/>
      <c r="AR57" s="57"/>
      <c r="AS57" s="57"/>
      <c r="AT57" s="57"/>
      <c r="AU57" s="57"/>
      <c r="AV57" s="57"/>
      <c r="AW57" s="57"/>
      <c r="AX57" s="45"/>
      <c r="AY57" s="65"/>
      <c r="AZ57" s="56"/>
      <c r="BA57" s="55"/>
      <c r="BB57" s="55"/>
      <c r="BC57" s="55"/>
      <c r="BD57" s="55"/>
      <c r="BE57" s="55"/>
      <c r="BF57" s="55"/>
      <c r="BG57" s="45"/>
      <c r="BH57" s="65"/>
      <c r="BI57" s="55"/>
      <c r="BJ57" s="55"/>
      <c r="BK57" s="55"/>
      <c r="BL57" s="55"/>
      <c r="BM57" s="55"/>
      <c r="BN57" s="55"/>
      <c r="BO57" s="55"/>
      <c r="BP57" s="55"/>
      <c r="BQ57" s="65"/>
      <c r="BR57" s="55"/>
      <c r="BS57" s="55"/>
      <c r="BT57" s="55"/>
      <c r="BU57" s="55"/>
      <c r="BV57" s="55"/>
      <c r="BW57" s="55"/>
      <c r="BX57" s="55"/>
      <c r="BY57" s="55"/>
      <c r="BZ57" s="65"/>
      <c r="CA57" s="55"/>
      <c r="CB57" s="55"/>
      <c r="CC57" s="55"/>
      <c r="CD57" s="55"/>
      <c r="CE57" s="55"/>
      <c r="CF57" s="55"/>
      <c r="CG57" s="55"/>
      <c r="CH57" s="55"/>
      <c r="CI57" s="55"/>
    </row>
    <row r="58" spans="1:87">
      <c r="A58" s="12" t="str">
        <f>Roster!A58</f>
        <v/>
      </c>
      <c r="B58" s="28">
        <f>Roster!C58</f>
        <v>0</v>
      </c>
      <c r="C58" s="28" t="str">
        <f>IF(COUNTIFS(Table36103[[#This Row],[Continue Existing]:[Start New]], "TRUE")=0, "YES", "NO")</f>
        <v>YES</v>
      </c>
      <c r="D58" s="28" t="b">
        <f>COUNTIFS(Table36103[[#This Row],[Screening Results: Drug &amp; Alcohol Assessment 1]:[Other Reason 9]], "Continue with existing treatment services")&gt;0</f>
        <v>0</v>
      </c>
      <c r="E58" s="28" t="b">
        <f>COUNTIFS(Table36103[[#This Row],[Screening Results: Drug &amp; Alcohol Assessment 1]:[Other Reason 9]], "Start new service")&gt;0</f>
        <v>0</v>
      </c>
      <c r="F58" s="55"/>
      <c r="G58" s="56"/>
      <c r="H58" s="57"/>
      <c r="I58" s="57"/>
      <c r="J58" s="57"/>
      <c r="K58" s="57"/>
      <c r="L58" s="57"/>
      <c r="M58" s="57"/>
      <c r="N58" s="45"/>
      <c r="O58" s="58"/>
      <c r="P58" s="56"/>
      <c r="Q58" s="57"/>
      <c r="R58" s="57"/>
      <c r="S58" s="57"/>
      <c r="T58" s="57"/>
      <c r="U58" s="57"/>
      <c r="V58" s="57"/>
      <c r="W58" s="45"/>
      <c r="X58" s="65"/>
      <c r="Y58" s="56"/>
      <c r="Z58" s="57"/>
      <c r="AA58" s="57"/>
      <c r="AB58" s="57"/>
      <c r="AC58" s="57"/>
      <c r="AD58" s="57"/>
      <c r="AE58" s="57"/>
      <c r="AF58" s="45"/>
      <c r="AG58" s="65"/>
      <c r="AH58" s="56"/>
      <c r="AI58" s="57"/>
      <c r="AJ58" s="57"/>
      <c r="AK58" s="57"/>
      <c r="AL58" s="57"/>
      <c r="AM58" s="57"/>
      <c r="AN58" s="57"/>
      <c r="AO58" s="45"/>
      <c r="AP58" s="65"/>
      <c r="AQ58" s="56"/>
      <c r="AR58" s="57"/>
      <c r="AS58" s="57"/>
      <c r="AT58" s="57"/>
      <c r="AU58" s="57"/>
      <c r="AV58" s="57"/>
      <c r="AW58" s="57"/>
      <c r="AX58" s="45"/>
      <c r="AY58" s="65"/>
      <c r="AZ58" s="56"/>
      <c r="BA58" s="55"/>
      <c r="BB58" s="55"/>
      <c r="BC58" s="55"/>
      <c r="BD58" s="55"/>
      <c r="BE58" s="55"/>
      <c r="BF58" s="55"/>
      <c r="BG58" s="45"/>
      <c r="BH58" s="65"/>
      <c r="BI58" s="55"/>
      <c r="BJ58" s="55"/>
      <c r="BK58" s="55"/>
      <c r="BL58" s="55"/>
      <c r="BM58" s="55"/>
      <c r="BN58" s="55"/>
      <c r="BO58" s="55"/>
      <c r="BP58" s="55"/>
      <c r="BQ58" s="65"/>
      <c r="BR58" s="55"/>
      <c r="BS58" s="55"/>
      <c r="BT58" s="55"/>
      <c r="BU58" s="55"/>
      <c r="BV58" s="55"/>
      <c r="BW58" s="55"/>
      <c r="BX58" s="55"/>
      <c r="BY58" s="55"/>
      <c r="BZ58" s="65"/>
      <c r="CA58" s="55"/>
      <c r="CB58" s="55"/>
      <c r="CC58" s="55"/>
      <c r="CD58" s="55"/>
      <c r="CE58" s="55"/>
      <c r="CF58" s="55"/>
      <c r="CG58" s="55"/>
      <c r="CH58" s="55"/>
      <c r="CI58" s="55"/>
    </row>
    <row r="59" spans="1:87">
      <c r="A59" s="12" t="str">
        <f>Roster!A59</f>
        <v/>
      </c>
      <c r="B59" s="28">
        <f>Roster!C59</f>
        <v>0</v>
      </c>
      <c r="C59" s="28" t="str">
        <f>IF(COUNTIFS(Table36103[[#This Row],[Continue Existing]:[Start New]], "TRUE")=0, "YES", "NO")</f>
        <v>YES</v>
      </c>
      <c r="D59" s="28" t="b">
        <f>COUNTIFS(Table36103[[#This Row],[Screening Results: Drug &amp; Alcohol Assessment 1]:[Other Reason 9]], "Continue with existing treatment services")&gt;0</f>
        <v>0</v>
      </c>
      <c r="E59" s="28" t="b">
        <f>COUNTIFS(Table36103[[#This Row],[Screening Results: Drug &amp; Alcohol Assessment 1]:[Other Reason 9]], "Start new service")&gt;0</f>
        <v>0</v>
      </c>
      <c r="F59" s="55"/>
      <c r="G59" s="56"/>
      <c r="H59" s="57"/>
      <c r="I59" s="57"/>
      <c r="J59" s="57"/>
      <c r="K59" s="57"/>
      <c r="L59" s="57"/>
      <c r="M59" s="57"/>
      <c r="N59" s="45"/>
      <c r="O59" s="58"/>
      <c r="P59" s="56"/>
      <c r="Q59" s="57"/>
      <c r="R59" s="57"/>
      <c r="S59" s="57"/>
      <c r="T59" s="57"/>
      <c r="U59" s="57"/>
      <c r="V59" s="57"/>
      <c r="W59" s="45"/>
      <c r="X59" s="65"/>
      <c r="Y59" s="56"/>
      <c r="Z59" s="57"/>
      <c r="AA59" s="57"/>
      <c r="AB59" s="57"/>
      <c r="AC59" s="57"/>
      <c r="AD59" s="57"/>
      <c r="AE59" s="57"/>
      <c r="AF59" s="45"/>
      <c r="AG59" s="65"/>
      <c r="AH59" s="56"/>
      <c r="AI59" s="57"/>
      <c r="AJ59" s="57"/>
      <c r="AK59" s="57"/>
      <c r="AL59" s="57"/>
      <c r="AM59" s="57"/>
      <c r="AN59" s="57"/>
      <c r="AO59" s="45"/>
      <c r="AP59" s="65"/>
      <c r="AQ59" s="56"/>
      <c r="AR59" s="57"/>
      <c r="AS59" s="57"/>
      <c r="AT59" s="57"/>
      <c r="AU59" s="57"/>
      <c r="AV59" s="57"/>
      <c r="AW59" s="57"/>
      <c r="AX59" s="45"/>
      <c r="AY59" s="65"/>
      <c r="AZ59" s="56"/>
      <c r="BA59" s="55"/>
      <c r="BB59" s="55"/>
      <c r="BC59" s="55"/>
      <c r="BD59" s="55"/>
      <c r="BE59" s="55"/>
      <c r="BF59" s="55"/>
      <c r="BG59" s="45"/>
      <c r="BH59" s="65"/>
      <c r="BI59" s="55"/>
      <c r="BJ59" s="55"/>
      <c r="BK59" s="55"/>
      <c r="BL59" s="55"/>
      <c r="BM59" s="55"/>
      <c r="BN59" s="55"/>
      <c r="BO59" s="55"/>
      <c r="BP59" s="55"/>
      <c r="BQ59" s="65"/>
      <c r="BR59" s="55"/>
      <c r="BS59" s="55"/>
      <c r="BT59" s="55"/>
      <c r="BU59" s="55"/>
      <c r="BV59" s="55"/>
      <c r="BW59" s="55"/>
      <c r="BX59" s="55"/>
      <c r="BY59" s="55"/>
      <c r="BZ59" s="65"/>
      <c r="CA59" s="55"/>
      <c r="CB59" s="55"/>
      <c r="CC59" s="55"/>
      <c r="CD59" s="55"/>
      <c r="CE59" s="55"/>
      <c r="CF59" s="55"/>
      <c r="CG59" s="55"/>
      <c r="CH59" s="55"/>
      <c r="CI59" s="55"/>
    </row>
    <row r="60" spans="1:87">
      <c r="A60" s="12" t="str">
        <f>Roster!A60</f>
        <v/>
      </c>
      <c r="B60" s="28">
        <f>Roster!C60</f>
        <v>0</v>
      </c>
      <c r="C60" s="28" t="str">
        <f>IF(COUNTIFS(Table36103[[#This Row],[Continue Existing]:[Start New]], "TRUE")=0, "YES", "NO")</f>
        <v>YES</v>
      </c>
      <c r="D60" s="28" t="b">
        <f>COUNTIFS(Table36103[[#This Row],[Screening Results: Drug &amp; Alcohol Assessment 1]:[Other Reason 9]], "Continue with existing treatment services")&gt;0</f>
        <v>0</v>
      </c>
      <c r="E60" s="28" t="b">
        <f>COUNTIFS(Table36103[[#This Row],[Screening Results: Drug &amp; Alcohol Assessment 1]:[Other Reason 9]], "Start new service")&gt;0</f>
        <v>0</v>
      </c>
      <c r="F60" s="55"/>
      <c r="G60" s="56"/>
      <c r="H60" s="57"/>
      <c r="I60" s="57"/>
      <c r="J60" s="57"/>
      <c r="K60" s="57"/>
      <c r="L60" s="57"/>
      <c r="M60" s="57"/>
      <c r="N60" s="45"/>
      <c r="O60" s="58"/>
      <c r="P60" s="56"/>
      <c r="Q60" s="57"/>
      <c r="R60" s="57"/>
      <c r="S60" s="57"/>
      <c r="T60" s="57"/>
      <c r="U60" s="57"/>
      <c r="V60" s="57"/>
      <c r="W60" s="45"/>
      <c r="X60" s="65"/>
      <c r="Y60" s="56"/>
      <c r="Z60" s="57"/>
      <c r="AA60" s="57"/>
      <c r="AB60" s="57"/>
      <c r="AC60" s="57"/>
      <c r="AD60" s="57"/>
      <c r="AE60" s="57"/>
      <c r="AF60" s="45"/>
      <c r="AG60" s="65"/>
      <c r="AH60" s="56"/>
      <c r="AI60" s="57"/>
      <c r="AJ60" s="57"/>
      <c r="AK60" s="57"/>
      <c r="AL60" s="57"/>
      <c r="AM60" s="57"/>
      <c r="AN60" s="57"/>
      <c r="AO60" s="45"/>
      <c r="AP60" s="65"/>
      <c r="AQ60" s="56"/>
      <c r="AR60" s="57"/>
      <c r="AS60" s="57"/>
      <c r="AT60" s="57"/>
      <c r="AU60" s="57"/>
      <c r="AV60" s="57"/>
      <c r="AW60" s="57"/>
      <c r="AX60" s="45"/>
      <c r="AY60" s="65"/>
      <c r="AZ60" s="56"/>
      <c r="BA60" s="55"/>
      <c r="BB60" s="55"/>
      <c r="BC60" s="55"/>
      <c r="BD60" s="55"/>
      <c r="BE60" s="55"/>
      <c r="BF60" s="55"/>
      <c r="BG60" s="45"/>
      <c r="BH60" s="65"/>
      <c r="BI60" s="55"/>
      <c r="BJ60" s="55"/>
      <c r="BK60" s="55"/>
      <c r="BL60" s="55"/>
      <c r="BM60" s="55"/>
      <c r="BN60" s="55"/>
      <c r="BO60" s="55"/>
      <c r="BP60" s="55"/>
      <c r="BQ60" s="65"/>
      <c r="BR60" s="55"/>
      <c r="BS60" s="55"/>
      <c r="BT60" s="55"/>
      <c r="BU60" s="55"/>
      <c r="BV60" s="55"/>
      <c r="BW60" s="55"/>
      <c r="BX60" s="55"/>
      <c r="BY60" s="55"/>
      <c r="BZ60" s="65"/>
      <c r="CA60" s="55"/>
      <c r="CB60" s="55"/>
      <c r="CC60" s="55"/>
      <c r="CD60" s="55"/>
      <c r="CE60" s="55"/>
      <c r="CF60" s="55"/>
      <c r="CG60" s="55"/>
      <c r="CH60" s="55"/>
      <c r="CI60" s="55"/>
    </row>
    <row r="61" spans="1:87">
      <c r="A61" s="12" t="str">
        <f>Roster!A61</f>
        <v/>
      </c>
      <c r="B61" s="28">
        <f>Roster!C61</f>
        <v>0</v>
      </c>
      <c r="C61" s="28" t="str">
        <f>IF(COUNTIFS(Table36103[[#This Row],[Continue Existing]:[Start New]], "TRUE")=0, "YES", "NO")</f>
        <v>YES</v>
      </c>
      <c r="D61" s="28" t="b">
        <f>COUNTIFS(Table36103[[#This Row],[Screening Results: Drug &amp; Alcohol Assessment 1]:[Other Reason 9]], "Continue with existing treatment services")&gt;0</f>
        <v>0</v>
      </c>
      <c r="E61" s="28" t="b">
        <f>COUNTIFS(Table36103[[#This Row],[Screening Results: Drug &amp; Alcohol Assessment 1]:[Other Reason 9]], "Start new service")&gt;0</f>
        <v>0</v>
      </c>
      <c r="F61" s="55"/>
      <c r="G61" s="56"/>
      <c r="H61" s="57"/>
      <c r="I61" s="57"/>
      <c r="J61" s="57"/>
      <c r="K61" s="57"/>
      <c r="L61" s="57"/>
      <c r="M61" s="57"/>
      <c r="N61" s="45"/>
      <c r="O61" s="58"/>
      <c r="P61" s="56"/>
      <c r="Q61" s="57"/>
      <c r="R61" s="57"/>
      <c r="S61" s="57"/>
      <c r="T61" s="57"/>
      <c r="U61" s="57"/>
      <c r="V61" s="57"/>
      <c r="W61" s="45"/>
      <c r="X61" s="65"/>
      <c r="Y61" s="56"/>
      <c r="Z61" s="57"/>
      <c r="AA61" s="57"/>
      <c r="AB61" s="57"/>
      <c r="AC61" s="57"/>
      <c r="AD61" s="57"/>
      <c r="AE61" s="57"/>
      <c r="AF61" s="45"/>
      <c r="AG61" s="65"/>
      <c r="AH61" s="56"/>
      <c r="AI61" s="57"/>
      <c r="AJ61" s="57"/>
      <c r="AK61" s="57"/>
      <c r="AL61" s="57"/>
      <c r="AM61" s="57"/>
      <c r="AN61" s="57"/>
      <c r="AO61" s="45"/>
      <c r="AP61" s="65"/>
      <c r="AQ61" s="56"/>
      <c r="AR61" s="57"/>
      <c r="AS61" s="57"/>
      <c r="AT61" s="57"/>
      <c r="AU61" s="57"/>
      <c r="AV61" s="57"/>
      <c r="AW61" s="57"/>
      <c r="AX61" s="45"/>
      <c r="AY61" s="65"/>
      <c r="AZ61" s="56"/>
      <c r="BA61" s="55"/>
      <c r="BB61" s="55"/>
      <c r="BC61" s="55"/>
      <c r="BD61" s="55"/>
      <c r="BE61" s="55"/>
      <c r="BF61" s="55"/>
      <c r="BG61" s="45"/>
      <c r="BH61" s="65"/>
      <c r="BI61" s="55"/>
      <c r="BJ61" s="55"/>
      <c r="BK61" s="55"/>
      <c r="BL61" s="55"/>
      <c r="BM61" s="55"/>
      <c r="BN61" s="55"/>
      <c r="BO61" s="55"/>
      <c r="BP61" s="55"/>
      <c r="BQ61" s="65"/>
      <c r="BR61" s="55"/>
      <c r="BS61" s="55"/>
      <c r="BT61" s="55"/>
      <c r="BU61" s="55"/>
      <c r="BV61" s="55"/>
      <c r="BW61" s="55"/>
      <c r="BX61" s="55"/>
      <c r="BY61" s="55"/>
      <c r="BZ61" s="65"/>
      <c r="CA61" s="55"/>
      <c r="CB61" s="55"/>
      <c r="CC61" s="55"/>
      <c r="CD61" s="55"/>
      <c r="CE61" s="55"/>
      <c r="CF61" s="55"/>
      <c r="CG61" s="55"/>
      <c r="CH61" s="55"/>
      <c r="CI61" s="55"/>
    </row>
    <row r="62" spans="1:87">
      <c r="A62" s="12" t="str">
        <f>Roster!A62</f>
        <v/>
      </c>
      <c r="B62" s="28">
        <f>Roster!C62</f>
        <v>0</v>
      </c>
      <c r="C62" s="28" t="str">
        <f>IF(COUNTIFS(Table36103[[#This Row],[Continue Existing]:[Start New]], "TRUE")=0, "YES", "NO")</f>
        <v>YES</v>
      </c>
      <c r="D62" s="28" t="b">
        <f>COUNTIFS(Table36103[[#This Row],[Screening Results: Drug &amp; Alcohol Assessment 1]:[Other Reason 9]], "Continue with existing treatment services")&gt;0</f>
        <v>0</v>
      </c>
      <c r="E62" s="28" t="b">
        <f>COUNTIFS(Table36103[[#This Row],[Screening Results: Drug &amp; Alcohol Assessment 1]:[Other Reason 9]], "Start new service")&gt;0</f>
        <v>0</v>
      </c>
      <c r="F62" s="55"/>
      <c r="G62" s="56"/>
      <c r="H62" s="57"/>
      <c r="I62" s="57"/>
      <c r="J62" s="57"/>
      <c r="K62" s="57"/>
      <c r="L62" s="57"/>
      <c r="M62" s="57"/>
      <c r="N62" s="45"/>
      <c r="O62" s="58"/>
      <c r="P62" s="56"/>
      <c r="Q62" s="57"/>
      <c r="R62" s="57"/>
      <c r="S62" s="57"/>
      <c r="T62" s="57"/>
      <c r="U62" s="57"/>
      <c r="V62" s="57"/>
      <c r="W62" s="45"/>
      <c r="X62" s="65"/>
      <c r="Y62" s="56"/>
      <c r="Z62" s="57"/>
      <c r="AA62" s="57"/>
      <c r="AB62" s="57"/>
      <c r="AC62" s="57"/>
      <c r="AD62" s="57"/>
      <c r="AE62" s="57"/>
      <c r="AF62" s="45"/>
      <c r="AG62" s="65"/>
      <c r="AH62" s="56"/>
      <c r="AI62" s="57"/>
      <c r="AJ62" s="57"/>
      <c r="AK62" s="57"/>
      <c r="AL62" s="57"/>
      <c r="AM62" s="57"/>
      <c r="AN62" s="57"/>
      <c r="AO62" s="45"/>
      <c r="AP62" s="65"/>
      <c r="AQ62" s="56"/>
      <c r="AR62" s="57"/>
      <c r="AS62" s="57"/>
      <c r="AT62" s="57"/>
      <c r="AU62" s="57"/>
      <c r="AV62" s="57"/>
      <c r="AW62" s="57"/>
      <c r="AX62" s="45"/>
      <c r="AY62" s="65"/>
      <c r="AZ62" s="56"/>
      <c r="BA62" s="55"/>
      <c r="BB62" s="55"/>
      <c r="BC62" s="55"/>
      <c r="BD62" s="55"/>
      <c r="BE62" s="55"/>
      <c r="BF62" s="55"/>
      <c r="BG62" s="45"/>
      <c r="BH62" s="65"/>
      <c r="BI62" s="55"/>
      <c r="BJ62" s="55"/>
      <c r="BK62" s="55"/>
      <c r="BL62" s="55"/>
      <c r="BM62" s="55"/>
      <c r="BN62" s="55"/>
      <c r="BO62" s="55"/>
      <c r="BP62" s="55"/>
      <c r="BQ62" s="65"/>
      <c r="BR62" s="55"/>
      <c r="BS62" s="55"/>
      <c r="BT62" s="55"/>
      <c r="BU62" s="55"/>
      <c r="BV62" s="55"/>
      <c r="BW62" s="55"/>
      <c r="BX62" s="55"/>
      <c r="BY62" s="55"/>
      <c r="BZ62" s="65"/>
      <c r="CA62" s="55"/>
      <c r="CB62" s="55"/>
      <c r="CC62" s="55"/>
      <c r="CD62" s="55"/>
      <c r="CE62" s="55"/>
      <c r="CF62" s="55"/>
      <c r="CG62" s="55"/>
      <c r="CH62" s="55"/>
      <c r="CI62" s="55"/>
    </row>
    <row r="63" spans="1:87">
      <c r="A63" s="12" t="str">
        <f>Roster!A63</f>
        <v/>
      </c>
      <c r="B63" s="28">
        <f>Roster!C63</f>
        <v>0</v>
      </c>
      <c r="C63" s="28" t="str">
        <f>IF(COUNTIFS(Table36103[[#This Row],[Continue Existing]:[Start New]], "TRUE")=0, "YES", "NO")</f>
        <v>YES</v>
      </c>
      <c r="D63" s="28" t="b">
        <f>COUNTIFS(Table36103[[#This Row],[Screening Results: Drug &amp; Alcohol Assessment 1]:[Other Reason 9]], "Continue with existing treatment services")&gt;0</f>
        <v>0</v>
      </c>
      <c r="E63" s="28" t="b">
        <f>COUNTIFS(Table36103[[#This Row],[Screening Results: Drug &amp; Alcohol Assessment 1]:[Other Reason 9]], "Start new service")&gt;0</f>
        <v>0</v>
      </c>
      <c r="F63" s="55"/>
      <c r="G63" s="56"/>
      <c r="H63" s="57"/>
      <c r="I63" s="57"/>
      <c r="J63" s="57"/>
      <c r="K63" s="57"/>
      <c r="L63" s="57"/>
      <c r="M63" s="57"/>
      <c r="N63" s="45"/>
      <c r="O63" s="58"/>
      <c r="P63" s="56"/>
      <c r="Q63" s="57"/>
      <c r="R63" s="57"/>
      <c r="S63" s="57"/>
      <c r="T63" s="57"/>
      <c r="U63" s="57"/>
      <c r="V63" s="57"/>
      <c r="W63" s="45"/>
      <c r="X63" s="65"/>
      <c r="Y63" s="56"/>
      <c r="Z63" s="57"/>
      <c r="AA63" s="57"/>
      <c r="AB63" s="57"/>
      <c r="AC63" s="57"/>
      <c r="AD63" s="57"/>
      <c r="AE63" s="57"/>
      <c r="AF63" s="45"/>
      <c r="AG63" s="65"/>
      <c r="AH63" s="56"/>
      <c r="AI63" s="57"/>
      <c r="AJ63" s="57"/>
      <c r="AK63" s="57"/>
      <c r="AL63" s="57"/>
      <c r="AM63" s="57"/>
      <c r="AN63" s="57"/>
      <c r="AO63" s="45"/>
      <c r="AP63" s="65"/>
      <c r="AQ63" s="56"/>
      <c r="AR63" s="57"/>
      <c r="AS63" s="57"/>
      <c r="AT63" s="57"/>
      <c r="AU63" s="57"/>
      <c r="AV63" s="57"/>
      <c r="AW63" s="57"/>
      <c r="AX63" s="45"/>
      <c r="AY63" s="65"/>
      <c r="AZ63" s="56"/>
      <c r="BA63" s="55"/>
      <c r="BB63" s="55"/>
      <c r="BC63" s="55"/>
      <c r="BD63" s="55"/>
      <c r="BE63" s="55"/>
      <c r="BF63" s="55"/>
      <c r="BG63" s="45"/>
      <c r="BH63" s="65"/>
      <c r="BI63" s="55"/>
      <c r="BJ63" s="55"/>
      <c r="BK63" s="55"/>
      <c r="BL63" s="55"/>
      <c r="BM63" s="55"/>
      <c r="BN63" s="55"/>
      <c r="BO63" s="55"/>
      <c r="BP63" s="55"/>
      <c r="BQ63" s="65"/>
      <c r="BR63" s="55"/>
      <c r="BS63" s="55"/>
      <c r="BT63" s="55"/>
      <c r="BU63" s="55"/>
      <c r="BV63" s="55"/>
      <c r="BW63" s="55"/>
      <c r="BX63" s="55"/>
      <c r="BY63" s="55"/>
      <c r="BZ63" s="65"/>
      <c r="CA63" s="55"/>
      <c r="CB63" s="55"/>
      <c r="CC63" s="55"/>
      <c r="CD63" s="55"/>
      <c r="CE63" s="55"/>
      <c r="CF63" s="55"/>
      <c r="CG63" s="55"/>
      <c r="CH63" s="55"/>
      <c r="CI63" s="55"/>
    </row>
    <row r="64" spans="1:87">
      <c r="A64" s="12" t="str">
        <f>Roster!A64</f>
        <v/>
      </c>
      <c r="B64" s="28">
        <f>Roster!C64</f>
        <v>0</v>
      </c>
      <c r="C64" s="28" t="str">
        <f>IF(COUNTIFS(Table36103[[#This Row],[Continue Existing]:[Start New]], "TRUE")=0, "YES", "NO")</f>
        <v>YES</v>
      </c>
      <c r="D64" s="28" t="b">
        <f>COUNTIFS(Table36103[[#This Row],[Screening Results: Drug &amp; Alcohol Assessment 1]:[Other Reason 9]], "Continue with existing treatment services")&gt;0</f>
        <v>0</v>
      </c>
      <c r="E64" s="28" t="b">
        <f>COUNTIFS(Table36103[[#This Row],[Screening Results: Drug &amp; Alcohol Assessment 1]:[Other Reason 9]], "Start new service")&gt;0</f>
        <v>0</v>
      </c>
      <c r="F64" s="55"/>
      <c r="G64" s="56"/>
      <c r="H64" s="57"/>
      <c r="I64" s="57"/>
      <c r="J64" s="57"/>
      <c r="K64" s="57"/>
      <c r="L64" s="57"/>
      <c r="M64" s="57"/>
      <c r="N64" s="45"/>
      <c r="O64" s="58"/>
      <c r="P64" s="56"/>
      <c r="Q64" s="57"/>
      <c r="R64" s="57"/>
      <c r="S64" s="57"/>
      <c r="T64" s="57"/>
      <c r="U64" s="57"/>
      <c r="V64" s="57"/>
      <c r="W64" s="45"/>
      <c r="X64" s="65"/>
      <c r="Y64" s="56"/>
      <c r="Z64" s="57"/>
      <c r="AA64" s="57"/>
      <c r="AB64" s="57"/>
      <c r="AC64" s="57"/>
      <c r="AD64" s="57"/>
      <c r="AE64" s="57"/>
      <c r="AF64" s="45"/>
      <c r="AG64" s="65"/>
      <c r="AH64" s="56"/>
      <c r="AI64" s="57"/>
      <c r="AJ64" s="57"/>
      <c r="AK64" s="57"/>
      <c r="AL64" s="57"/>
      <c r="AM64" s="57"/>
      <c r="AN64" s="57"/>
      <c r="AO64" s="45"/>
      <c r="AP64" s="65"/>
      <c r="AQ64" s="56"/>
      <c r="AR64" s="57"/>
      <c r="AS64" s="57"/>
      <c r="AT64" s="57"/>
      <c r="AU64" s="57"/>
      <c r="AV64" s="57"/>
      <c r="AW64" s="57"/>
      <c r="AX64" s="45"/>
      <c r="AY64" s="65"/>
      <c r="AZ64" s="56"/>
      <c r="BA64" s="55"/>
      <c r="BB64" s="55"/>
      <c r="BC64" s="55"/>
      <c r="BD64" s="55"/>
      <c r="BE64" s="55"/>
      <c r="BF64" s="55"/>
      <c r="BG64" s="45"/>
      <c r="BH64" s="65"/>
      <c r="BI64" s="55"/>
      <c r="BJ64" s="55"/>
      <c r="BK64" s="55"/>
      <c r="BL64" s="55"/>
      <c r="BM64" s="55"/>
      <c r="BN64" s="55"/>
      <c r="BO64" s="55"/>
      <c r="BP64" s="55"/>
      <c r="BQ64" s="65"/>
      <c r="BR64" s="55"/>
      <c r="BS64" s="55"/>
      <c r="BT64" s="55"/>
      <c r="BU64" s="55"/>
      <c r="BV64" s="55"/>
      <c r="BW64" s="55"/>
      <c r="BX64" s="55"/>
      <c r="BY64" s="55"/>
      <c r="BZ64" s="65"/>
      <c r="CA64" s="55"/>
      <c r="CB64" s="55"/>
      <c r="CC64" s="55"/>
      <c r="CD64" s="55"/>
      <c r="CE64" s="55"/>
      <c r="CF64" s="55"/>
      <c r="CG64" s="55"/>
      <c r="CH64" s="55"/>
      <c r="CI64" s="55"/>
    </row>
    <row r="65" spans="1:87">
      <c r="A65" s="12" t="str">
        <f>Roster!A65</f>
        <v/>
      </c>
      <c r="B65" s="28">
        <f>Roster!C65</f>
        <v>0</v>
      </c>
      <c r="C65" s="28" t="str">
        <f>IF(COUNTIFS(Table36103[[#This Row],[Continue Existing]:[Start New]], "TRUE")=0, "YES", "NO")</f>
        <v>YES</v>
      </c>
      <c r="D65" s="28" t="b">
        <f>COUNTIFS(Table36103[[#This Row],[Screening Results: Drug &amp; Alcohol Assessment 1]:[Other Reason 9]], "Continue with existing treatment services")&gt;0</f>
        <v>0</v>
      </c>
      <c r="E65" s="28" t="b">
        <f>COUNTIFS(Table36103[[#This Row],[Screening Results: Drug &amp; Alcohol Assessment 1]:[Other Reason 9]], "Start new service")&gt;0</f>
        <v>0</v>
      </c>
      <c r="F65" s="55"/>
      <c r="G65" s="56"/>
      <c r="H65" s="57"/>
      <c r="I65" s="57"/>
      <c r="J65" s="57"/>
      <c r="K65" s="57"/>
      <c r="L65" s="57"/>
      <c r="M65" s="57"/>
      <c r="N65" s="45"/>
      <c r="O65" s="58"/>
      <c r="P65" s="56"/>
      <c r="Q65" s="57"/>
      <c r="R65" s="57"/>
      <c r="S65" s="57"/>
      <c r="T65" s="57"/>
      <c r="U65" s="57"/>
      <c r="V65" s="57"/>
      <c r="W65" s="45"/>
      <c r="X65" s="65"/>
      <c r="Y65" s="56"/>
      <c r="Z65" s="57"/>
      <c r="AA65" s="57"/>
      <c r="AB65" s="57"/>
      <c r="AC65" s="57"/>
      <c r="AD65" s="57"/>
      <c r="AE65" s="57"/>
      <c r="AF65" s="45"/>
      <c r="AG65" s="65"/>
      <c r="AH65" s="56"/>
      <c r="AI65" s="57"/>
      <c r="AJ65" s="57"/>
      <c r="AK65" s="57"/>
      <c r="AL65" s="57"/>
      <c r="AM65" s="57"/>
      <c r="AN65" s="57"/>
      <c r="AO65" s="45"/>
      <c r="AP65" s="65"/>
      <c r="AQ65" s="56"/>
      <c r="AR65" s="57"/>
      <c r="AS65" s="57"/>
      <c r="AT65" s="57"/>
      <c r="AU65" s="57"/>
      <c r="AV65" s="57"/>
      <c r="AW65" s="57"/>
      <c r="AX65" s="45"/>
      <c r="AY65" s="65"/>
      <c r="AZ65" s="56"/>
      <c r="BA65" s="55"/>
      <c r="BB65" s="55"/>
      <c r="BC65" s="55"/>
      <c r="BD65" s="55"/>
      <c r="BE65" s="55"/>
      <c r="BF65" s="55"/>
      <c r="BG65" s="45"/>
      <c r="BH65" s="65"/>
      <c r="BI65" s="55"/>
      <c r="BJ65" s="55"/>
      <c r="BK65" s="55"/>
      <c r="BL65" s="55"/>
      <c r="BM65" s="55"/>
      <c r="BN65" s="55"/>
      <c r="BO65" s="55"/>
      <c r="BP65" s="55"/>
      <c r="BQ65" s="65"/>
      <c r="BR65" s="55"/>
      <c r="BS65" s="55"/>
      <c r="BT65" s="55"/>
      <c r="BU65" s="55"/>
      <c r="BV65" s="55"/>
      <c r="BW65" s="55"/>
      <c r="BX65" s="55"/>
      <c r="BY65" s="55"/>
      <c r="BZ65" s="65"/>
      <c r="CA65" s="55"/>
      <c r="CB65" s="55"/>
      <c r="CC65" s="55"/>
      <c r="CD65" s="55"/>
      <c r="CE65" s="55"/>
      <c r="CF65" s="55"/>
      <c r="CG65" s="55"/>
      <c r="CH65" s="55"/>
      <c r="CI65" s="55"/>
    </row>
    <row r="66" spans="1:87">
      <c r="A66" s="12" t="str">
        <f>Roster!A66</f>
        <v/>
      </c>
      <c r="B66" s="28">
        <f>Roster!C66</f>
        <v>0</v>
      </c>
      <c r="C66" s="28" t="str">
        <f>IF(COUNTIFS(Table36103[[#This Row],[Continue Existing]:[Start New]], "TRUE")=0, "YES", "NO")</f>
        <v>YES</v>
      </c>
      <c r="D66" s="28" t="b">
        <f>COUNTIFS(Table36103[[#This Row],[Screening Results: Drug &amp; Alcohol Assessment 1]:[Other Reason 9]], "Continue with existing treatment services")&gt;0</f>
        <v>0</v>
      </c>
      <c r="E66" s="28" t="b">
        <f>COUNTIFS(Table36103[[#This Row],[Screening Results: Drug &amp; Alcohol Assessment 1]:[Other Reason 9]], "Start new service")&gt;0</f>
        <v>0</v>
      </c>
      <c r="F66" s="55"/>
      <c r="G66" s="56"/>
      <c r="H66" s="57"/>
      <c r="I66" s="57"/>
      <c r="J66" s="57"/>
      <c r="K66" s="57"/>
      <c r="L66" s="57"/>
      <c r="M66" s="57"/>
      <c r="N66" s="45"/>
      <c r="O66" s="58"/>
      <c r="P66" s="56"/>
      <c r="Q66" s="57"/>
      <c r="R66" s="57"/>
      <c r="S66" s="57"/>
      <c r="T66" s="57"/>
      <c r="U66" s="57"/>
      <c r="V66" s="57"/>
      <c r="W66" s="45"/>
      <c r="X66" s="65"/>
      <c r="Y66" s="56"/>
      <c r="Z66" s="57"/>
      <c r="AA66" s="57"/>
      <c r="AB66" s="57"/>
      <c r="AC66" s="57"/>
      <c r="AD66" s="57"/>
      <c r="AE66" s="57"/>
      <c r="AF66" s="45"/>
      <c r="AG66" s="65"/>
      <c r="AH66" s="56"/>
      <c r="AI66" s="57"/>
      <c r="AJ66" s="57"/>
      <c r="AK66" s="57"/>
      <c r="AL66" s="57"/>
      <c r="AM66" s="57"/>
      <c r="AN66" s="57"/>
      <c r="AO66" s="45"/>
      <c r="AP66" s="65"/>
      <c r="AQ66" s="56"/>
      <c r="AR66" s="57"/>
      <c r="AS66" s="57"/>
      <c r="AT66" s="57"/>
      <c r="AU66" s="57"/>
      <c r="AV66" s="57"/>
      <c r="AW66" s="57"/>
      <c r="AX66" s="45"/>
      <c r="AY66" s="65"/>
      <c r="AZ66" s="56"/>
      <c r="BA66" s="55"/>
      <c r="BB66" s="55"/>
      <c r="BC66" s="55"/>
      <c r="BD66" s="55"/>
      <c r="BE66" s="55"/>
      <c r="BF66" s="55"/>
      <c r="BG66" s="45"/>
      <c r="BH66" s="65"/>
      <c r="BI66" s="55"/>
      <c r="BJ66" s="55"/>
      <c r="BK66" s="55"/>
      <c r="BL66" s="55"/>
      <c r="BM66" s="55"/>
      <c r="BN66" s="55"/>
      <c r="BO66" s="55"/>
      <c r="BP66" s="55"/>
      <c r="BQ66" s="65"/>
      <c r="BR66" s="55"/>
      <c r="BS66" s="55"/>
      <c r="BT66" s="55"/>
      <c r="BU66" s="55"/>
      <c r="BV66" s="55"/>
      <c r="BW66" s="55"/>
      <c r="BX66" s="55"/>
      <c r="BY66" s="55"/>
      <c r="BZ66" s="65"/>
      <c r="CA66" s="55"/>
      <c r="CB66" s="55"/>
      <c r="CC66" s="55"/>
      <c r="CD66" s="55"/>
      <c r="CE66" s="55"/>
      <c r="CF66" s="55"/>
      <c r="CG66" s="55"/>
      <c r="CH66" s="55"/>
      <c r="CI66" s="55"/>
    </row>
    <row r="67" spans="1:87">
      <c r="A67" s="12" t="str">
        <f>Roster!A67</f>
        <v/>
      </c>
      <c r="B67" s="28">
        <f>Roster!C67</f>
        <v>0</v>
      </c>
      <c r="C67" s="28" t="str">
        <f>IF(COUNTIFS(Table36103[[#This Row],[Continue Existing]:[Start New]], "TRUE")=0, "YES", "NO")</f>
        <v>YES</v>
      </c>
      <c r="D67" s="28" t="b">
        <f>COUNTIFS(Table36103[[#This Row],[Screening Results: Drug &amp; Alcohol Assessment 1]:[Other Reason 9]], "Continue with existing treatment services")&gt;0</f>
        <v>0</v>
      </c>
      <c r="E67" s="28" t="b">
        <f>COUNTIFS(Table36103[[#This Row],[Screening Results: Drug &amp; Alcohol Assessment 1]:[Other Reason 9]], "Start new service")&gt;0</f>
        <v>0</v>
      </c>
      <c r="F67" s="55"/>
      <c r="G67" s="56"/>
      <c r="H67" s="57"/>
      <c r="I67" s="57"/>
      <c r="J67" s="57"/>
      <c r="K67" s="57"/>
      <c r="L67" s="57"/>
      <c r="M67" s="57"/>
      <c r="N67" s="45"/>
      <c r="O67" s="58"/>
      <c r="P67" s="56"/>
      <c r="Q67" s="57"/>
      <c r="R67" s="57"/>
      <c r="S67" s="57"/>
      <c r="T67" s="57"/>
      <c r="U67" s="57"/>
      <c r="V67" s="57"/>
      <c r="W67" s="45"/>
      <c r="X67" s="65"/>
      <c r="Y67" s="56"/>
      <c r="Z67" s="57"/>
      <c r="AA67" s="57"/>
      <c r="AB67" s="57"/>
      <c r="AC67" s="57"/>
      <c r="AD67" s="57"/>
      <c r="AE67" s="57"/>
      <c r="AF67" s="45"/>
      <c r="AG67" s="65"/>
      <c r="AH67" s="56"/>
      <c r="AI67" s="57"/>
      <c r="AJ67" s="57"/>
      <c r="AK67" s="57"/>
      <c r="AL67" s="57"/>
      <c r="AM67" s="57"/>
      <c r="AN67" s="57"/>
      <c r="AO67" s="45"/>
      <c r="AP67" s="65"/>
      <c r="AQ67" s="56"/>
      <c r="AR67" s="57"/>
      <c r="AS67" s="57"/>
      <c r="AT67" s="57"/>
      <c r="AU67" s="57"/>
      <c r="AV67" s="57"/>
      <c r="AW67" s="57"/>
      <c r="AX67" s="45"/>
      <c r="AY67" s="65"/>
      <c r="AZ67" s="56"/>
      <c r="BA67" s="55"/>
      <c r="BB67" s="55"/>
      <c r="BC67" s="55"/>
      <c r="BD67" s="55"/>
      <c r="BE67" s="55"/>
      <c r="BF67" s="55"/>
      <c r="BG67" s="45"/>
      <c r="BH67" s="65"/>
      <c r="BI67" s="55"/>
      <c r="BJ67" s="55"/>
      <c r="BK67" s="55"/>
      <c r="BL67" s="55"/>
      <c r="BM67" s="55"/>
      <c r="BN67" s="55"/>
      <c r="BO67" s="55"/>
      <c r="BP67" s="55"/>
      <c r="BQ67" s="65"/>
      <c r="BR67" s="55"/>
      <c r="BS67" s="55"/>
      <c r="BT67" s="55"/>
      <c r="BU67" s="55"/>
      <c r="BV67" s="55"/>
      <c r="BW67" s="55"/>
      <c r="BX67" s="55"/>
      <c r="BY67" s="55"/>
      <c r="BZ67" s="65"/>
      <c r="CA67" s="55"/>
      <c r="CB67" s="55"/>
      <c r="CC67" s="55"/>
      <c r="CD67" s="55"/>
      <c r="CE67" s="55"/>
      <c r="CF67" s="55"/>
      <c r="CG67" s="55"/>
      <c r="CH67" s="55"/>
      <c r="CI67" s="55"/>
    </row>
    <row r="68" spans="1:87">
      <c r="A68" s="12" t="str">
        <f>Roster!A68</f>
        <v/>
      </c>
      <c r="B68" s="28">
        <f>Roster!C68</f>
        <v>0</v>
      </c>
      <c r="C68" s="28" t="str">
        <f>IF(COUNTIFS(Table36103[[#This Row],[Continue Existing]:[Start New]], "TRUE")=0, "YES", "NO")</f>
        <v>YES</v>
      </c>
      <c r="D68" s="28" t="b">
        <f>COUNTIFS(Table36103[[#This Row],[Screening Results: Drug &amp; Alcohol Assessment 1]:[Other Reason 9]], "Continue with existing treatment services")&gt;0</f>
        <v>0</v>
      </c>
      <c r="E68" s="28" t="b">
        <f>COUNTIFS(Table36103[[#This Row],[Screening Results: Drug &amp; Alcohol Assessment 1]:[Other Reason 9]], "Start new service")&gt;0</f>
        <v>0</v>
      </c>
      <c r="F68" s="55"/>
      <c r="G68" s="56"/>
      <c r="H68" s="57"/>
      <c r="I68" s="57"/>
      <c r="J68" s="57"/>
      <c r="K68" s="57"/>
      <c r="L68" s="57"/>
      <c r="M68" s="57"/>
      <c r="N68" s="45"/>
      <c r="O68" s="58"/>
      <c r="P68" s="56"/>
      <c r="Q68" s="57"/>
      <c r="R68" s="57"/>
      <c r="S68" s="57"/>
      <c r="T68" s="57"/>
      <c r="U68" s="57"/>
      <c r="V68" s="57"/>
      <c r="W68" s="45"/>
      <c r="X68" s="65"/>
      <c r="Y68" s="56"/>
      <c r="Z68" s="57"/>
      <c r="AA68" s="57"/>
      <c r="AB68" s="57"/>
      <c r="AC68" s="57"/>
      <c r="AD68" s="57"/>
      <c r="AE68" s="57"/>
      <c r="AF68" s="45"/>
      <c r="AG68" s="65"/>
      <c r="AH68" s="56"/>
      <c r="AI68" s="57"/>
      <c r="AJ68" s="57"/>
      <c r="AK68" s="57"/>
      <c r="AL68" s="57"/>
      <c r="AM68" s="57"/>
      <c r="AN68" s="57"/>
      <c r="AO68" s="45"/>
      <c r="AP68" s="65"/>
      <c r="AQ68" s="56"/>
      <c r="AR68" s="57"/>
      <c r="AS68" s="57"/>
      <c r="AT68" s="57"/>
      <c r="AU68" s="57"/>
      <c r="AV68" s="57"/>
      <c r="AW68" s="57"/>
      <c r="AX68" s="45"/>
      <c r="AY68" s="65"/>
      <c r="AZ68" s="56"/>
      <c r="BA68" s="55"/>
      <c r="BB68" s="55"/>
      <c r="BC68" s="55"/>
      <c r="BD68" s="55"/>
      <c r="BE68" s="55"/>
      <c r="BF68" s="55"/>
      <c r="BG68" s="45"/>
      <c r="BH68" s="65"/>
      <c r="BI68" s="55"/>
      <c r="BJ68" s="55"/>
      <c r="BK68" s="55"/>
      <c r="BL68" s="55"/>
      <c r="BM68" s="55"/>
      <c r="BN68" s="55"/>
      <c r="BO68" s="55"/>
      <c r="BP68" s="55"/>
      <c r="BQ68" s="65"/>
      <c r="BR68" s="55"/>
      <c r="BS68" s="55"/>
      <c r="BT68" s="55"/>
      <c r="BU68" s="55"/>
      <c r="BV68" s="55"/>
      <c r="BW68" s="55"/>
      <c r="BX68" s="55"/>
      <c r="BY68" s="55"/>
      <c r="BZ68" s="65"/>
      <c r="CA68" s="55"/>
      <c r="CB68" s="55"/>
      <c r="CC68" s="55"/>
      <c r="CD68" s="55"/>
      <c r="CE68" s="55"/>
      <c r="CF68" s="55"/>
      <c r="CG68" s="55"/>
      <c r="CH68" s="55"/>
      <c r="CI68" s="55"/>
    </row>
    <row r="69" spans="1:87">
      <c r="A69" s="12" t="str">
        <f>Roster!A69</f>
        <v/>
      </c>
      <c r="B69" s="28">
        <f>Roster!C69</f>
        <v>0</v>
      </c>
      <c r="C69" s="28" t="str">
        <f>IF(COUNTIFS(Table36103[[#This Row],[Continue Existing]:[Start New]], "TRUE")=0, "YES", "NO")</f>
        <v>YES</v>
      </c>
      <c r="D69" s="28" t="b">
        <f>COUNTIFS(Table36103[[#This Row],[Screening Results: Drug &amp; Alcohol Assessment 1]:[Other Reason 9]], "Continue with existing treatment services")&gt;0</f>
        <v>0</v>
      </c>
      <c r="E69" s="28" t="b">
        <f>COUNTIFS(Table36103[[#This Row],[Screening Results: Drug &amp; Alcohol Assessment 1]:[Other Reason 9]], "Start new service")&gt;0</f>
        <v>0</v>
      </c>
      <c r="F69" s="55"/>
      <c r="G69" s="56"/>
      <c r="H69" s="57"/>
      <c r="I69" s="57"/>
      <c r="J69" s="57"/>
      <c r="K69" s="57"/>
      <c r="L69" s="57"/>
      <c r="M69" s="57"/>
      <c r="N69" s="45"/>
      <c r="O69" s="58"/>
      <c r="P69" s="56"/>
      <c r="Q69" s="57"/>
      <c r="R69" s="57"/>
      <c r="S69" s="57"/>
      <c r="T69" s="57"/>
      <c r="U69" s="57"/>
      <c r="V69" s="57"/>
      <c r="W69" s="45"/>
      <c r="X69" s="65"/>
      <c r="Y69" s="56"/>
      <c r="Z69" s="57"/>
      <c r="AA69" s="57"/>
      <c r="AB69" s="57"/>
      <c r="AC69" s="57"/>
      <c r="AD69" s="57"/>
      <c r="AE69" s="57"/>
      <c r="AF69" s="45"/>
      <c r="AG69" s="65"/>
      <c r="AH69" s="56"/>
      <c r="AI69" s="57"/>
      <c r="AJ69" s="57"/>
      <c r="AK69" s="57"/>
      <c r="AL69" s="57"/>
      <c r="AM69" s="57"/>
      <c r="AN69" s="57"/>
      <c r="AO69" s="45"/>
      <c r="AP69" s="65"/>
      <c r="AQ69" s="56"/>
      <c r="AR69" s="57"/>
      <c r="AS69" s="57"/>
      <c r="AT69" s="57"/>
      <c r="AU69" s="57"/>
      <c r="AV69" s="57"/>
      <c r="AW69" s="57"/>
      <c r="AX69" s="45"/>
      <c r="AY69" s="65"/>
      <c r="AZ69" s="56"/>
      <c r="BA69" s="55"/>
      <c r="BB69" s="55"/>
      <c r="BC69" s="55"/>
      <c r="BD69" s="55"/>
      <c r="BE69" s="55"/>
      <c r="BF69" s="55"/>
      <c r="BG69" s="45"/>
      <c r="BH69" s="65"/>
      <c r="BI69" s="55"/>
      <c r="BJ69" s="55"/>
      <c r="BK69" s="55"/>
      <c r="BL69" s="55"/>
      <c r="BM69" s="55"/>
      <c r="BN69" s="55"/>
      <c r="BO69" s="55"/>
      <c r="BP69" s="55"/>
      <c r="BQ69" s="65"/>
      <c r="BR69" s="55"/>
      <c r="BS69" s="55"/>
      <c r="BT69" s="55"/>
      <c r="BU69" s="55"/>
      <c r="BV69" s="55"/>
      <c r="BW69" s="55"/>
      <c r="BX69" s="55"/>
      <c r="BY69" s="55"/>
      <c r="BZ69" s="65"/>
      <c r="CA69" s="55"/>
      <c r="CB69" s="55"/>
      <c r="CC69" s="55"/>
      <c r="CD69" s="55"/>
      <c r="CE69" s="55"/>
      <c r="CF69" s="55"/>
      <c r="CG69" s="55"/>
      <c r="CH69" s="55"/>
      <c r="CI69" s="55"/>
    </row>
    <row r="70" spans="1:87">
      <c r="A70" s="12" t="str">
        <f>Roster!A70</f>
        <v/>
      </c>
      <c r="B70" s="28">
        <f>Roster!C70</f>
        <v>0</v>
      </c>
      <c r="C70" s="28" t="str">
        <f>IF(COUNTIFS(Table36103[[#This Row],[Continue Existing]:[Start New]], "TRUE")=0, "YES", "NO")</f>
        <v>YES</v>
      </c>
      <c r="D70" s="28" t="b">
        <f>COUNTIFS(Table36103[[#This Row],[Screening Results: Drug &amp; Alcohol Assessment 1]:[Other Reason 9]], "Continue with existing treatment services")&gt;0</f>
        <v>0</v>
      </c>
      <c r="E70" s="28" t="b">
        <f>COUNTIFS(Table36103[[#This Row],[Screening Results: Drug &amp; Alcohol Assessment 1]:[Other Reason 9]], "Start new service")&gt;0</f>
        <v>0</v>
      </c>
      <c r="F70" s="55"/>
      <c r="G70" s="56"/>
      <c r="H70" s="57"/>
      <c r="I70" s="57"/>
      <c r="J70" s="57"/>
      <c r="K70" s="57"/>
      <c r="L70" s="57"/>
      <c r="M70" s="57"/>
      <c r="N70" s="45"/>
      <c r="O70" s="58"/>
      <c r="P70" s="56"/>
      <c r="Q70" s="57"/>
      <c r="R70" s="57"/>
      <c r="S70" s="57"/>
      <c r="T70" s="57"/>
      <c r="U70" s="57"/>
      <c r="V70" s="57"/>
      <c r="W70" s="45"/>
      <c r="X70" s="65"/>
      <c r="Y70" s="56"/>
      <c r="Z70" s="57"/>
      <c r="AA70" s="57"/>
      <c r="AB70" s="57"/>
      <c r="AC70" s="57"/>
      <c r="AD70" s="57"/>
      <c r="AE70" s="57"/>
      <c r="AF70" s="45"/>
      <c r="AG70" s="65"/>
      <c r="AH70" s="56"/>
      <c r="AI70" s="57"/>
      <c r="AJ70" s="57"/>
      <c r="AK70" s="57"/>
      <c r="AL70" s="57"/>
      <c r="AM70" s="57"/>
      <c r="AN70" s="57"/>
      <c r="AO70" s="45"/>
      <c r="AP70" s="65"/>
      <c r="AQ70" s="56"/>
      <c r="AR70" s="57"/>
      <c r="AS70" s="57"/>
      <c r="AT70" s="57"/>
      <c r="AU70" s="57"/>
      <c r="AV70" s="57"/>
      <c r="AW70" s="57"/>
      <c r="AX70" s="45"/>
      <c r="AY70" s="65"/>
      <c r="AZ70" s="56"/>
      <c r="BA70" s="55"/>
      <c r="BB70" s="55"/>
      <c r="BC70" s="55"/>
      <c r="BD70" s="55"/>
      <c r="BE70" s="55"/>
      <c r="BF70" s="55"/>
      <c r="BG70" s="45"/>
      <c r="BH70" s="65"/>
      <c r="BI70" s="55"/>
      <c r="BJ70" s="55"/>
      <c r="BK70" s="55"/>
      <c r="BL70" s="55"/>
      <c r="BM70" s="55"/>
      <c r="BN70" s="55"/>
      <c r="BO70" s="55"/>
      <c r="BP70" s="55"/>
      <c r="BQ70" s="65"/>
      <c r="BR70" s="55"/>
      <c r="BS70" s="55"/>
      <c r="BT70" s="55"/>
      <c r="BU70" s="55"/>
      <c r="BV70" s="55"/>
      <c r="BW70" s="55"/>
      <c r="BX70" s="55"/>
      <c r="BY70" s="55"/>
      <c r="BZ70" s="65"/>
      <c r="CA70" s="55"/>
      <c r="CB70" s="55"/>
      <c r="CC70" s="55"/>
      <c r="CD70" s="55"/>
      <c r="CE70" s="55"/>
      <c r="CF70" s="55"/>
      <c r="CG70" s="55"/>
      <c r="CH70" s="55"/>
      <c r="CI70" s="55"/>
    </row>
    <row r="71" spans="1:87">
      <c r="A71" s="12" t="str">
        <f>Roster!A71</f>
        <v/>
      </c>
      <c r="B71" s="28">
        <f>Roster!C71</f>
        <v>0</v>
      </c>
      <c r="C71" s="28" t="str">
        <f>IF(COUNTIFS(Table36103[[#This Row],[Continue Existing]:[Start New]], "TRUE")=0, "YES", "NO")</f>
        <v>YES</v>
      </c>
      <c r="D71" s="28" t="b">
        <f>COUNTIFS(Table36103[[#This Row],[Screening Results: Drug &amp; Alcohol Assessment 1]:[Other Reason 9]], "Continue with existing treatment services")&gt;0</f>
        <v>0</v>
      </c>
      <c r="E71" s="28" t="b">
        <f>COUNTIFS(Table36103[[#This Row],[Screening Results: Drug &amp; Alcohol Assessment 1]:[Other Reason 9]], "Start new service")&gt;0</f>
        <v>0</v>
      </c>
      <c r="F71" s="55"/>
      <c r="G71" s="56"/>
      <c r="H71" s="57"/>
      <c r="I71" s="57"/>
      <c r="J71" s="57"/>
      <c r="K71" s="57"/>
      <c r="L71" s="57"/>
      <c r="M71" s="57"/>
      <c r="N71" s="45"/>
      <c r="O71" s="58"/>
      <c r="P71" s="56"/>
      <c r="Q71" s="57"/>
      <c r="R71" s="57"/>
      <c r="S71" s="57"/>
      <c r="T71" s="57"/>
      <c r="U71" s="57"/>
      <c r="V71" s="57"/>
      <c r="W71" s="45"/>
      <c r="X71" s="65"/>
      <c r="Y71" s="56"/>
      <c r="Z71" s="57"/>
      <c r="AA71" s="57"/>
      <c r="AB71" s="57"/>
      <c r="AC71" s="57"/>
      <c r="AD71" s="57"/>
      <c r="AE71" s="57"/>
      <c r="AF71" s="45"/>
      <c r="AG71" s="65"/>
      <c r="AH71" s="56"/>
      <c r="AI71" s="57"/>
      <c r="AJ71" s="57"/>
      <c r="AK71" s="57"/>
      <c r="AL71" s="57"/>
      <c r="AM71" s="57"/>
      <c r="AN71" s="57"/>
      <c r="AO71" s="45"/>
      <c r="AP71" s="65"/>
      <c r="AQ71" s="56"/>
      <c r="AR71" s="57"/>
      <c r="AS71" s="57"/>
      <c r="AT71" s="57"/>
      <c r="AU71" s="57"/>
      <c r="AV71" s="57"/>
      <c r="AW71" s="57"/>
      <c r="AX71" s="45"/>
      <c r="AY71" s="65"/>
      <c r="AZ71" s="56"/>
      <c r="BA71" s="55"/>
      <c r="BB71" s="55"/>
      <c r="BC71" s="55"/>
      <c r="BD71" s="55"/>
      <c r="BE71" s="55"/>
      <c r="BF71" s="55"/>
      <c r="BG71" s="45"/>
      <c r="BH71" s="65"/>
      <c r="BI71" s="55"/>
      <c r="BJ71" s="55"/>
      <c r="BK71" s="55"/>
      <c r="BL71" s="55"/>
      <c r="BM71" s="55"/>
      <c r="BN71" s="55"/>
      <c r="BO71" s="55"/>
      <c r="BP71" s="55"/>
      <c r="BQ71" s="65"/>
      <c r="BR71" s="55"/>
      <c r="BS71" s="55"/>
      <c r="BT71" s="55"/>
      <c r="BU71" s="55"/>
      <c r="BV71" s="55"/>
      <c r="BW71" s="55"/>
      <c r="BX71" s="55"/>
      <c r="BY71" s="55"/>
      <c r="BZ71" s="65"/>
      <c r="CA71" s="55"/>
      <c r="CB71" s="55"/>
      <c r="CC71" s="55"/>
      <c r="CD71" s="55"/>
      <c r="CE71" s="55"/>
      <c r="CF71" s="55"/>
      <c r="CG71" s="55"/>
      <c r="CH71" s="55"/>
      <c r="CI71" s="55"/>
    </row>
    <row r="72" spans="1:87">
      <c r="A72" s="12" t="str">
        <f>Roster!A72</f>
        <v/>
      </c>
      <c r="B72" s="28">
        <f>Roster!C72</f>
        <v>0</v>
      </c>
      <c r="C72" s="28" t="str">
        <f>IF(COUNTIFS(Table36103[[#This Row],[Continue Existing]:[Start New]], "TRUE")=0, "YES", "NO")</f>
        <v>YES</v>
      </c>
      <c r="D72" s="28" t="b">
        <f>COUNTIFS(Table36103[[#This Row],[Screening Results: Drug &amp; Alcohol Assessment 1]:[Other Reason 9]], "Continue with existing treatment services")&gt;0</f>
        <v>0</v>
      </c>
      <c r="E72" s="28" t="b">
        <f>COUNTIFS(Table36103[[#This Row],[Screening Results: Drug &amp; Alcohol Assessment 1]:[Other Reason 9]], "Start new service")&gt;0</f>
        <v>0</v>
      </c>
      <c r="F72" s="55"/>
      <c r="G72" s="56"/>
      <c r="H72" s="57"/>
      <c r="I72" s="57"/>
      <c r="J72" s="57"/>
      <c r="K72" s="57"/>
      <c r="L72" s="57"/>
      <c r="M72" s="57"/>
      <c r="N72" s="45"/>
      <c r="O72" s="58"/>
      <c r="P72" s="56"/>
      <c r="Q72" s="57"/>
      <c r="R72" s="57"/>
      <c r="S72" s="57"/>
      <c r="T72" s="57"/>
      <c r="U72" s="57"/>
      <c r="V72" s="57"/>
      <c r="W72" s="45"/>
      <c r="X72" s="65"/>
      <c r="Y72" s="56"/>
      <c r="Z72" s="57"/>
      <c r="AA72" s="57"/>
      <c r="AB72" s="57"/>
      <c r="AC72" s="57"/>
      <c r="AD72" s="57"/>
      <c r="AE72" s="57"/>
      <c r="AF72" s="45"/>
      <c r="AG72" s="65"/>
      <c r="AH72" s="56"/>
      <c r="AI72" s="57"/>
      <c r="AJ72" s="57"/>
      <c r="AK72" s="57"/>
      <c r="AL72" s="57"/>
      <c r="AM72" s="57"/>
      <c r="AN72" s="57"/>
      <c r="AO72" s="45"/>
      <c r="AP72" s="65"/>
      <c r="AQ72" s="56"/>
      <c r="AR72" s="57"/>
      <c r="AS72" s="57"/>
      <c r="AT72" s="57"/>
      <c r="AU72" s="57"/>
      <c r="AV72" s="57"/>
      <c r="AW72" s="57"/>
      <c r="AX72" s="45"/>
      <c r="AY72" s="65"/>
      <c r="AZ72" s="56"/>
      <c r="BA72" s="55"/>
      <c r="BB72" s="55"/>
      <c r="BC72" s="55"/>
      <c r="BD72" s="55"/>
      <c r="BE72" s="55"/>
      <c r="BF72" s="55"/>
      <c r="BG72" s="45"/>
      <c r="BH72" s="65"/>
      <c r="BI72" s="55"/>
      <c r="BJ72" s="55"/>
      <c r="BK72" s="55"/>
      <c r="BL72" s="55"/>
      <c r="BM72" s="55"/>
      <c r="BN72" s="55"/>
      <c r="BO72" s="55"/>
      <c r="BP72" s="55"/>
      <c r="BQ72" s="65"/>
      <c r="BR72" s="55"/>
      <c r="BS72" s="55"/>
      <c r="BT72" s="55"/>
      <c r="BU72" s="55"/>
      <c r="BV72" s="55"/>
      <c r="BW72" s="55"/>
      <c r="BX72" s="55"/>
      <c r="BY72" s="55"/>
      <c r="BZ72" s="65"/>
      <c r="CA72" s="55"/>
      <c r="CB72" s="55"/>
      <c r="CC72" s="55"/>
      <c r="CD72" s="55"/>
      <c r="CE72" s="55"/>
      <c r="CF72" s="55"/>
      <c r="CG72" s="55"/>
      <c r="CH72" s="55"/>
      <c r="CI72" s="55"/>
    </row>
    <row r="73" spans="1:87">
      <c r="A73" s="12" t="str">
        <f>Roster!A73</f>
        <v/>
      </c>
      <c r="B73" s="28">
        <f>Roster!C73</f>
        <v>0</v>
      </c>
      <c r="C73" s="28" t="str">
        <f>IF(COUNTIFS(Table36103[[#This Row],[Continue Existing]:[Start New]], "TRUE")=0, "YES", "NO")</f>
        <v>YES</v>
      </c>
      <c r="D73" s="28" t="b">
        <f>COUNTIFS(Table36103[[#This Row],[Screening Results: Drug &amp; Alcohol Assessment 1]:[Other Reason 9]], "Continue with existing treatment services")&gt;0</f>
        <v>0</v>
      </c>
      <c r="E73" s="28" t="b">
        <f>COUNTIFS(Table36103[[#This Row],[Screening Results: Drug &amp; Alcohol Assessment 1]:[Other Reason 9]], "Start new service")&gt;0</f>
        <v>0</v>
      </c>
      <c r="F73" s="55"/>
      <c r="G73" s="56"/>
      <c r="H73" s="57"/>
      <c r="I73" s="57"/>
      <c r="J73" s="57"/>
      <c r="K73" s="57"/>
      <c r="L73" s="57"/>
      <c r="M73" s="57"/>
      <c r="N73" s="45"/>
      <c r="O73" s="58"/>
      <c r="P73" s="56"/>
      <c r="Q73" s="57"/>
      <c r="R73" s="57"/>
      <c r="S73" s="57"/>
      <c r="T73" s="57"/>
      <c r="U73" s="57"/>
      <c r="V73" s="57"/>
      <c r="W73" s="45"/>
      <c r="X73" s="65"/>
      <c r="Y73" s="56"/>
      <c r="Z73" s="57"/>
      <c r="AA73" s="57"/>
      <c r="AB73" s="57"/>
      <c r="AC73" s="57"/>
      <c r="AD73" s="57"/>
      <c r="AE73" s="57"/>
      <c r="AF73" s="45"/>
      <c r="AG73" s="65"/>
      <c r="AH73" s="56"/>
      <c r="AI73" s="57"/>
      <c r="AJ73" s="57"/>
      <c r="AK73" s="57"/>
      <c r="AL73" s="57"/>
      <c r="AM73" s="57"/>
      <c r="AN73" s="57"/>
      <c r="AO73" s="45"/>
      <c r="AP73" s="65"/>
      <c r="AQ73" s="56"/>
      <c r="AR73" s="57"/>
      <c r="AS73" s="57"/>
      <c r="AT73" s="57"/>
      <c r="AU73" s="57"/>
      <c r="AV73" s="57"/>
      <c r="AW73" s="57"/>
      <c r="AX73" s="45"/>
      <c r="AY73" s="65"/>
      <c r="AZ73" s="56"/>
      <c r="BA73" s="55"/>
      <c r="BB73" s="55"/>
      <c r="BC73" s="55"/>
      <c r="BD73" s="55"/>
      <c r="BE73" s="55"/>
      <c r="BF73" s="55"/>
      <c r="BG73" s="45"/>
      <c r="BH73" s="65"/>
      <c r="BI73" s="55"/>
      <c r="BJ73" s="55"/>
      <c r="BK73" s="55"/>
      <c r="BL73" s="55"/>
      <c r="BM73" s="55"/>
      <c r="BN73" s="55"/>
      <c r="BO73" s="55"/>
      <c r="BP73" s="55"/>
      <c r="BQ73" s="65"/>
      <c r="BR73" s="55"/>
      <c r="BS73" s="55"/>
      <c r="BT73" s="55"/>
      <c r="BU73" s="55"/>
      <c r="BV73" s="55"/>
      <c r="BW73" s="55"/>
      <c r="BX73" s="55"/>
      <c r="BY73" s="55"/>
      <c r="BZ73" s="65"/>
      <c r="CA73" s="55"/>
      <c r="CB73" s="55"/>
      <c r="CC73" s="55"/>
      <c r="CD73" s="55"/>
      <c r="CE73" s="55"/>
      <c r="CF73" s="55"/>
      <c r="CG73" s="55"/>
      <c r="CH73" s="55"/>
      <c r="CI73" s="55"/>
    </row>
    <row r="74" spans="1:87">
      <c r="A74" s="12" t="str">
        <f>Roster!A74</f>
        <v/>
      </c>
      <c r="B74" s="28">
        <f>Roster!C74</f>
        <v>0</v>
      </c>
      <c r="C74" s="28" t="str">
        <f>IF(COUNTIFS(Table36103[[#This Row],[Continue Existing]:[Start New]], "TRUE")=0, "YES", "NO")</f>
        <v>YES</v>
      </c>
      <c r="D74" s="28" t="b">
        <f>COUNTIFS(Table36103[[#This Row],[Screening Results: Drug &amp; Alcohol Assessment 1]:[Other Reason 9]], "Continue with existing treatment services")&gt;0</f>
        <v>0</v>
      </c>
      <c r="E74" s="28" t="b">
        <f>COUNTIFS(Table36103[[#This Row],[Screening Results: Drug &amp; Alcohol Assessment 1]:[Other Reason 9]], "Start new service")&gt;0</f>
        <v>0</v>
      </c>
      <c r="F74" s="55"/>
      <c r="G74" s="56"/>
      <c r="H74" s="57"/>
      <c r="I74" s="57"/>
      <c r="J74" s="57"/>
      <c r="K74" s="57"/>
      <c r="L74" s="57"/>
      <c r="M74" s="57"/>
      <c r="N74" s="45"/>
      <c r="O74" s="58"/>
      <c r="P74" s="56"/>
      <c r="Q74" s="57"/>
      <c r="R74" s="57"/>
      <c r="S74" s="57"/>
      <c r="T74" s="57"/>
      <c r="U74" s="57"/>
      <c r="V74" s="57"/>
      <c r="W74" s="45"/>
      <c r="X74" s="65"/>
      <c r="Y74" s="56"/>
      <c r="Z74" s="57"/>
      <c r="AA74" s="57"/>
      <c r="AB74" s="57"/>
      <c r="AC74" s="57"/>
      <c r="AD74" s="57"/>
      <c r="AE74" s="57"/>
      <c r="AF74" s="45"/>
      <c r="AG74" s="65"/>
      <c r="AH74" s="56"/>
      <c r="AI74" s="57"/>
      <c r="AJ74" s="57"/>
      <c r="AK74" s="57"/>
      <c r="AL74" s="57"/>
      <c r="AM74" s="57"/>
      <c r="AN74" s="57"/>
      <c r="AO74" s="45"/>
      <c r="AP74" s="65"/>
      <c r="AQ74" s="56"/>
      <c r="AR74" s="57"/>
      <c r="AS74" s="57"/>
      <c r="AT74" s="57"/>
      <c r="AU74" s="57"/>
      <c r="AV74" s="57"/>
      <c r="AW74" s="57"/>
      <c r="AX74" s="45"/>
      <c r="AY74" s="65"/>
      <c r="AZ74" s="56"/>
      <c r="BA74" s="55"/>
      <c r="BB74" s="55"/>
      <c r="BC74" s="55"/>
      <c r="BD74" s="55"/>
      <c r="BE74" s="55"/>
      <c r="BF74" s="55"/>
      <c r="BG74" s="45"/>
      <c r="BH74" s="65"/>
      <c r="BI74" s="55"/>
      <c r="BJ74" s="55"/>
      <c r="BK74" s="55"/>
      <c r="BL74" s="55"/>
      <c r="BM74" s="55"/>
      <c r="BN74" s="55"/>
      <c r="BO74" s="55"/>
      <c r="BP74" s="55"/>
      <c r="BQ74" s="65"/>
      <c r="BR74" s="55"/>
      <c r="BS74" s="55"/>
      <c r="BT74" s="55"/>
      <c r="BU74" s="55"/>
      <c r="BV74" s="55"/>
      <c r="BW74" s="55"/>
      <c r="BX74" s="55"/>
      <c r="BY74" s="55"/>
      <c r="BZ74" s="65"/>
      <c r="CA74" s="55"/>
      <c r="CB74" s="55"/>
      <c r="CC74" s="55"/>
      <c r="CD74" s="55"/>
      <c r="CE74" s="55"/>
      <c r="CF74" s="55"/>
      <c r="CG74" s="55"/>
      <c r="CH74" s="55"/>
      <c r="CI74" s="55"/>
    </row>
    <row r="75" spans="1:87">
      <c r="A75" s="12" t="str">
        <f>Roster!A75</f>
        <v/>
      </c>
      <c r="B75" s="28">
        <f>Roster!C75</f>
        <v>0</v>
      </c>
      <c r="C75" s="28" t="str">
        <f>IF(COUNTIFS(Table36103[[#This Row],[Continue Existing]:[Start New]], "TRUE")=0, "YES", "NO")</f>
        <v>YES</v>
      </c>
      <c r="D75" s="28" t="b">
        <f>COUNTIFS(Table36103[[#This Row],[Screening Results: Drug &amp; Alcohol Assessment 1]:[Other Reason 9]], "Continue with existing treatment services")&gt;0</f>
        <v>0</v>
      </c>
      <c r="E75" s="28" t="b">
        <f>COUNTIFS(Table36103[[#This Row],[Screening Results: Drug &amp; Alcohol Assessment 1]:[Other Reason 9]], "Start new service")&gt;0</f>
        <v>0</v>
      </c>
      <c r="F75" s="55"/>
      <c r="G75" s="56"/>
      <c r="H75" s="57"/>
      <c r="I75" s="57"/>
      <c r="J75" s="57"/>
      <c r="K75" s="57"/>
      <c r="L75" s="57"/>
      <c r="M75" s="57"/>
      <c r="N75" s="45"/>
      <c r="O75" s="58"/>
      <c r="P75" s="56"/>
      <c r="Q75" s="57"/>
      <c r="R75" s="57"/>
      <c r="S75" s="57"/>
      <c r="T75" s="57"/>
      <c r="U75" s="57"/>
      <c r="V75" s="57"/>
      <c r="W75" s="45"/>
      <c r="X75" s="65"/>
      <c r="Y75" s="56"/>
      <c r="Z75" s="57"/>
      <c r="AA75" s="57"/>
      <c r="AB75" s="57"/>
      <c r="AC75" s="57"/>
      <c r="AD75" s="57"/>
      <c r="AE75" s="57"/>
      <c r="AF75" s="45"/>
      <c r="AG75" s="65"/>
      <c r="AH75" s="56"/>
      <c r="AI75" s="57"/>
      <c r="AJ75" s="57"/>
      <c r="AK75" s="57"/>
      <c r="AL75" s="57"/>
      <c r="AM75" s="57"/>
      <c r="AN75" s="57"/>
      <c r="AO75" s="45"/>
      <c r="AP75" s="65"/>
      <c r="AQ75" s="56"/>
      <c r="AR75" s="57"/>
      <c r="AS75" s="57"/>
      <c r="AT75" s="57"/>
      <c r="AU75" s="57"/>
      <c r="AV75" s="57"/>
      <c r="AW75" s="57"/>
      <c r="AX75" s="45"/>
      <c r="AY75" s="65"/>
      <c r="AZ75" s="56"/>
      <c r="BA75" s="55"/>
      <c r="BB75" s="55"/>
      <c r="BC75" s="55"/>
      <c r="BD75" s="55"/>
      <c r="BE75" s="55"/>
      <c r="BF75" s="55"/>
      <c r="BG75" s="45"/>
      <c r="BH75" s="65"/>
      <c r="BI75" s="55"/>
      <c r="BJ75" s="55"/>
      <c r="BK75" s="55"/>
      <c r="BL75" s="55"/>
      <c r="BM75" s="55"/>
      <c r="BN75" s="55"/>
      <c r="BO75" s="55"/>
      <c r="BP75" s="55"/>
      <c r="BQ75" s="65"/>
      <c r="BR75" s="55"/>
      <c r="BS75" s="55"/>
      <c r="BT75" s="55"/>
      <c r="BU75" s="55"/>
      <c r="BV75" s="55"/>
      <c r="BW75" s="55"/>
      <c r="BX75" s="55"/>
      <c r="BY75" s="55"/>
      <c r="BZ75" s="65"/>
      <c r="CA75" s="55"/>
      <c r="CB75" s="55"/>
      <c r="CC75" s="55"/>
      <c r="CD75" s="55"/>
      <c r="CE75" s="55"/>
      <c r="CF75" s="55"/>
      <c r="CG75" s="55"/>
      <c r="CH75" s="55"/>
      <c r="CI75" s="55"/>
    </row>
    <row r="76" spans="1:87">
      <c r="A76" s="12" t="str">
        <f>Roster!A76</f>
        <v/>
      </c>
      <c r="B76" s="28">
        <f>Roster!C76</f>
        <v>0</v>
      </c>
      <c r="C76" s="28" t="str">
        <f>IF(COUNTIFS(Table36103[[#This Row],[Continue Existing]:[Start New]], "TRUE")=0, "YES", "NO")</f>
        <v>YES</v>
      </c>
      <c r="D76" s="28" t="b">
        <f>COUNTIFS(Table36103[[#This Row],[Screening Results: Drug &amp; Alcohol Assessment 1]:[Other Reason 9]], "Continue with existing treatment services")&gt;0</f>
        <v>0</v>
      </c>
      <c r="E76" s="28" t="b">
        <f>COUNTIFS(Table36103[[#This Row],[Screening Results: Drug &amp; Alcohol Assessment 1]:[Other Reason 9]], "Start new service")&gt;0</f>
        <v>0</v>
      </c>
      <c r="F76" s="55"/>
      <c r="G76" s="56"/>
      <c r="H76" s="57"/>
      <c r="I76" s="57"/>
      <c r="J76" s="57"/>
      <c r="K76" s="57"/>
      <c r="L76" s="57"/>
      <c r="M76" s="57"/>
      <c r="N76" s="45"/>
      <c r="O76" s="58"/>
      <c r="P76" s="56"/>
      <c r="Q76" s="57"/>
      <c r="R76" s="57"/>
      <c r="S76" s="57"/>
      <c r="T76" s="57"/>
      <c r="U76" s="57"/>
      <c r="V76" s="57"/>
      <c r="W76" s="45"/>
      <c r="X76" s="65"/>
      <c r="Y76" s="56"/>
      <c r="Z76" s="57"/>
      <c r="AA76" s="57"/>
      <c r="AB76" s="57"/>
      <c r="AC76" s="57"/>
      <c r="AD76" s="57"/>
      <c r="AE76" s="57"/>
      <c r="AF76" s="45"/>
      <c r="AG76" s="65"/>
      <c r="AH76" s="56"/>
      <c r="AI76" s="57"/>
      <c r="AJ76" s="57"/>
      <c r="AK76" s="57"/>
      <c r="AL76" s="57"/>
      <c r="AM76" s="57"/>
      <c r="AN76" s="57"/>
      <c r="AO76" s="45"/>
      <c r="AP76" s="65"/>
      <c r="AQ76" s="56"/>
      <c r="AR76" s="57"/>
      <c r="AS76" s="57"/>
      <c r="AT76" s="57"/>
      <c r="AU76" s="57"/>
      <c r="AV76" s="57"/>
      <c r="AW76" s="57"/>
      <c r="AX76" s="45"/>
      <c r="AY76" s="65"/>
      <c r="AZ76" s="56"/>
      <c r="BA76" s="55"/>
      <c r="BB76" s="55"/>
      <c r="BC76" s="55"/>
      <c r="BD76" s="55"/>
      <c r="BE76" s="55"/>
      <c r="BF76" s="55"/>
      <c r="BG76" s="45"/>
      <c r="BH76" s="65"/>
      <c r="BI76" s="55"/>
      <c r="BJ76" s="55"/>
      <c r="BK76" s="55"/>
      <c r="BL76" s="55"/>
      <c r="BM76" s="55"/>
      <c r="BN76" s="55"/>
      <c r="BO76" s="55"/>
      <c r="BP76" s="55"/>
      <c r="BQ76" s="65"/>
      <c r="BR76" s="55"/>
      <c r="BS76" s="55"/>
      <c r="BT76" s="55"/>
      <c r="BU76" s="55"/>
      <c r="BV76" s="55"/>
      <c r="BW76" s="55"/>
      <c r="BX76" s="55"/>
      <c r="BY76" s="55"/>
      <c r="BZ76" s="65"/>
      <c r="CA76" s="55"/>
      <c r="CB76" s="55"/>
      <c r="CC76" s="55"/>
      <c r="CD76" s="55"/>
      <c r="CE76" s="55"/>
      <c r="CF76" s="55"/>
      <c r="CG76" s="55"/>
      <c r="CH76" s="55"/>
      <c r="CI76" s="55"/>
    </row>
    <row r="77" spans="1:87">
      <c r="A77" s="12" t="str">
        <f>Roster!A77</f>
        <v/>
      </c>
      <c r="B77" s="28">
        <f>Roster!C77</f>
        <v>0</v>
      </c>
      <c r="C77" s="28" t="str">
        <f>IF(COUNTIFS(Table36103[[#This Row],[Continue Existing]:[Start New]], "TRUE")=0, "YES", "NO")</f>
        <v>YES</v>
      </c>
      <c r="D77" s="28" t="b">
        <f>COUNTIFS(Table36103[[#This Row],[Screening Results: Drug &amp; Alcohol Assessment 1]:[Other Reason 9]], "Continue with existing treatment services")&gt;0</f>
        <v>0</v>
      </c>
      <c r="E77" s="28" t="b">
        <f>COUNTIFS(Table36103[[#This Row],[Screening Results: Drug &amp; Alcohol Assessment 1]:[Other Reason 9]], "Start new service")&gt;0</f>
        <v>0</v>
      </c>
      <c r="F77" s="55"/>
      <c r="G77" s="56"/>
      <c r="H77" s="57"/>
      <c r="I77" s="57"/>
      <c r="J77" s="57"/>
      <c r="K77" s="57"/>
      <c r="L77" s="57"/>
      <c r="M77" s="57"/>
      <c r="N77" s="45"/>
      <c r="O77" s="58"/>
      <c r="P77" s="56"/>
      <c r="Q77" s="57"/>
      <c r="R77" s="57"/>
      <c r="S77" s="57"/>
      <c r="T77" s="57"/>
      <c r="U77" s="57"/>
      <c r="V77" s="57"/>
      <c r="W77" s="45"/>
      <c r="X77" s="65"/>
      <c r="Y77" s="56"/>
      <c r="Z77" s="57"/>
      <c r="AA77" s="57"/>
      <c r="AB77" s="57"/>
      <c r="AC77" s="57"/>
      <c r="AD77" s="57"/>
      <c r="AE77" s="57"/>
      <c r="AF77" s="45"/>
      <c r="AG77" s="65"/>
      <c r="AH77" s="56"/>
      <c r="AI77" s="57"/>
      <c r="AJ77" s="57"/>
      <c r="AK77" s="57"/>
      <c r="AL77" s="57"/>
      <c r="AM77" s="57"/>
      <c r="AN77" s="57"/>
      <c r="AO77" s="45"/>
      <c r="AP77" s="65"/>
      <c r="AQ77" s="56"/>
      <c r="AR77" s="57"/>
      <c r="AS77" s="57"/>
      <c r="AT77" s="57"/>
      <c r="AU77" s="57"/>
      <c r="AV77" s="57"/>
      <c r="AW77" s="57"/>
      <c r="AX77" s="45"/>
      <c r="AY77" s="65"/>
      <c r="AZ77" s="56"/>
      <c r="BA77" s="55"/>
      <c r="BB77" s="55"/>
      <c r="BC77" s="55"/>
      <c r="BD77" s="55"/>
      <c r="BE77" s="55"/>
      <c r="BF77" s="55"/>
      <c r="BG77" s="45"/>
      <c r="BH77" s="65"/>
      <c r="BI77" s="55"/>
      <c r="BJ77" s="55"/>
      <c r="BK77" s="55"/>
      <c r="BL77" s="55"/>
      <c r="BM77" s="55"/>
      <c r="BN77" s="55"/>
      <c r="BO77" s="55"/>
      <c r="BP77" s="55"/>
      <c r="BQ77" s="65"/>
      <c r="BR77" s="55"/>
      <c r="BS77" s="55"/>
      <c r="BT77" s="55"/>
      <c r="BU77" s="55"/>
      <c r="BV77" s="55"/>
      <c r="BW77" s="55"/>
      <c r="BX77" s="55"/>
      <c r="BY77" s="55"/>
      <c r="BZ77" s="65"/>
      <c r="CA77" s="55"/>
      <c r="CB77" s="55"/>
      <c r="CC77" s="55"/>
      <c r="CD77" s="55"/>
      <c r="CE77" s="55"/>
      <c r="CF77" s="55"/>
      <c r="CG77" s="55"/>
      <c r="CH77" s="55"/>
      <c r="CI77" s="55"/>
    </row>
    <row r="78" spans="1:87">
      <c r="A78" s="12" t="str">
        <f>Roster!A78</f>
        <v/>
      </c>
      <c r="B78" s="28">
        <f>Roster!C78</f>
        <v>0</v>
      </c>
      <c r="C78" s="28" t="str">
        <f>IF(COUNTIFS(Table36103[[#This Row],[Continue Existing]:[Start New]], "TRUE")=0, "YES", "NO")</f>
        <v>YES</v>
      </c>
      <c r="D78" s="28" t="b">
        <f>COUNTIFS(Table36103[[#This Row],[Screening Results: Drug &amp; Alcohol Assessment 1]:[Other Reason 9]], "Continue with existing treatment services")&gt;0</f>
        <v>0</v>
      </c>
      <c r="E78" s="28" t="b">
        <f>COUNTIFS(Table36103[[#This Row],[Screening Results: Drug &amp; Alcohol Assessment 1]:[Other Reason 9]], "Start new service")&gt;0</f>
        <v>0</v>
      </c>
      <c r="F78" s="55"/>
      <c r="G78" s="56"/>
      <c r="H78" s="57"/>
      <c r="I78" s="57"/>
      <c r="J78" s="57"/>
      <c r="K78" s="57"/>
      <c r="L78" s="57"/>
      <c r="M78" s="57"/>
      <c r="N78" s="45"/>
      <c r="O78" s="58"/>
      <c r="P78" s="56"/>
      <c r="Q78" s="57"/>
      <c r="R78" s="57"/>
      <c r="S78" s="57"/>
      <c r="T78" s="57"/>
      <c r="U78" s="57"/>
      <c r="V78" s="57"/>
      <c r="W78" s="45"/>
      <c r="X78" s="65"/>
      <c r="Y78" s="56"/>
      <c r="Z78" s="57"/>
      <c r="AA78" s="57"/>
      <c r="AB78" s="57"/>
      <c r="AC78" s="57"/>
      <c r="AD78" s="57"/>
      <c r="AE78" s="57"/>
      <c r="AF78" s="45"/>
      <c r="AG78" s="65"/>
      <c r="AH78" s="56"/>
      <c r="AI78" s="57"/>
      <c r="AJ78" s="57"/>
      <c r="AK78" s="57"/>
      <c r="AL78" s="57"/>
      <c r="AM78" s="57"/>
      <c r="AN78" s="57"/>
      <c r="AO78" s="45"/>
      <c r="AP78" s="65"/>
      <c r="AQ78" s="56"/>
      <c r="AR78" s="57"/>
      <c r="AS78" s="57"/>
      <c r="AT78" s="57"/>
      <c r="AU78" s="57"/>
      <c r="AV78" s="57"/>
      <c r="AW78" s="57"/>
      <c r="AX78" s="45"/>
      <c r="AY78" s="65"/>
      <c r="AZ78" s="56"/>
      <c r="BA78" s="55"/>
      <c r="BB78" s="55"/>
      <c r="BC78" s="55"/>
      <c r="BD78" s="55"/>
      <c r="BE78" s="55"/>
      <c r="BF78" s="55"/>
      <c r="BG78" s="45"/>
      <c r="BH78" s="65"/>
      <c r="BI78" s="55"/>
      <c r="BJ78" s="55"/>
      <c r="BK78" s="55"/>
      <c r="BL78" s="55"/>
      <c r="BM78" s="55"/>
      <c r="BN78" s="55"/>
      <c r="BO78" s="55"/>
      <c r="BP78" s="55"/>
      <c r="BQ78" s="65"/>
      <c r="BR78" s="55"/>
      <c r="BS78" s="55"/>
      <c r="BT78" s="55"/>
      <c r="BU78" s="55"/>
      <c r="BV78" s="55"/>
      <c r="BW78" s="55"/>
      <c r="BX78" s="55"/>
      <c r="BY78" s="55"/>
      <c r="BZ78" s="65"/>
      <c r="CA78" s="55"/>
      <c r="CB78" s="55"/>
      <c r="CC78" s="55"/>
      <c r="CD78" s="55"/>
      <c r="CE78" s="55"/>
      <c r="CF78" s="55"/>
      <c r="CG78" s="55"/>
      <c r="CH78" s="55"/>
      <c r="CI78" s="55"/>
    </row>
    <row r="79" spans="1:87">
      <c r="A79" s="12" t="str">
        <f>Roster!A79</f>
        <v/>
      </c>
      <c r="B79" s="28">
        <f>Roster!C79</f>
        <v>0</v>
      </c>
      <c r="C79" s="28" t="str">
        <f>IF(COUNTIFS(Table36103[[#This Row],[Continue Existing]:[Start New]], "TRUE")=0, "YES", "NO")</f>
        <v>YES</v>
      </c>
      <c r="D79" s="28" t="b">
        <f>COUNTIFS(Table36103[[#This Row],[Screening Results: Drug &amp; Alcohol Assessment 1]:[Other Reason 9]], "Continue with existing treatment services")&gt;0</f>
        <v>0</v>
      </c>
      <c r="E79" s="28" t="b">
        <f>COUNTIFS(Table36103[[#This Row],[Screening Results: Drug &amp; Alcohol Assessment 1]:[Other Reason 9]], "Start new service")&gt;0</f>
        <v>0</v>
      </c>
      <c r="F79" s="55"/>
      <c r="G79" s="56"/>
      <c r="H79" s="57"/>
      <c r="I79" s="57"/>
      <c r="J79" s="57"/>
      <c r="K79" s="57"/>
      <c r="L79" s="57"/>
      <c r="M79" s="57"/>
      <c r="N79" s="45"/>
      <c r="O79" s="58"/>
      <c r="P79" s="56"/>
      <c r="Q79" s="57"/>
      <c r="R79" s="57"/>
      <c r="S79" s="57"/>
      <c r="T79" s="57"/>
      <c r="U79" s="57"/>
      <c r="V79" s="57"/>
      <c r="W79" s="45"/>
      <c r="X79" s="65"/>
      <c r="Y79" s="56"/>
      <c r="Z79" s="57"/>
      <c r="AA79" s="57"/>
      <c r="AB79" s="57"/>
      <c r="AC79" s="57"/>
      <c r="AD79" s="57"/>
      <c r="AE79" s="57"/>
      <c r="AF79" s="45"/>
      <c r="AG79" s="65"/>
      <c r="AH79" s="56"/>
      <c r="AI79" s="57"/>
      <c r="AJ79" s="57"/>
      <c r="AK79" s="57"/>
      <c r="AL79" s="57"/>
      <c r="AM79" s="57"/>
      <c r="AN79" s="57"/>
      <c r="AO79" s="45"/>
      <c r="AP79" s="65"/>
      <c r="AQ79" s="56"/>
      <c r="AR79" s="57"/>
      <c r="AS79" s="57"/>
      <c r="AT79" s="57"/>
      <c r="AU79" s="57"/>
      <c r="AV79" s="57"/>
      <c r="AW79" s="57"/>
      <c r="AX79" s="45"/>
      <c r="AY79" s="65"/>
      <c r="AZ79" s="56"/>
      <c r="BA79" s="55"/>
      <c r="BB79" s="55"/>
      <c r="BC79" s="55"/>
      <c r="BD79" s="55"/>
      <c r="BE79" s="55"/>
      <c r="BF79" s="55"/>
      <c r="BG79" s="45"/>
      <c r="BH79" s="65"/>
      <c r="BI79" s="55"/>
      <c r="BJ79" s="55"/>
      <c r="BK79" s="55"/>
      <c r="BL79" s="55"/>
      <c r="BM79" s="55"/>
      <c r="BN79" s="55"/>
      <c r="BO79" s="55"/>
      <c r="BP79" s="55"/>
      <c r="BQ79" s="65"/>
      <c r="BR79" s="55"/>
      <c r="BS79" s="55"/>
      <c r="BT79" s="55"/>
      <c r="BU79" s="55"/>
      <c r="BV79" s="55"/>
      <c r="BW79" s="55"/>
      <c r="BX79" s="55"/>
      <c r="BY79" s="55"/>
      <c r="BZ79" s="65"/>
      <c r="CA79" s="55"/>
      <c r="CB79" s="55"/>
      <c r="CC79" s="55"/>
      <c r="CD79" s="55"/>
      <c r="CE79" s="55"/>
      <c r="CF79" s="55"/>
      <c r="CG79" s="55"/>
      <c r="CH79" s="55"/>
      <c r="CI79" s="55"/>
    </row>
    <row r="80" spans="1:87">
      <c r="A80" s="12" t="str">
        <f>Roster!A80</f>
        <v/>
      </c>
      <c r="B80" s="28">
        <f>Roster!C80</f>
        <v>0</v>
      </c>
      <c r="C80" s="28" t="str">
        <f>IF(COUNTIFS(Table36103[[#This Row],[Continue Existing]:[Start New]], "TRUE")=0, "YES", "NO")</f>
        <v>YES</v>
      </c>
      <c r="D80" s="28" t="b">
        <f>COUNTIFS(Table36103[[#This Row],[Screening Results: Drug &amp; Alcohol Assessment 1]:[Other Reason 9]], "Continue with existing treatment services")&gt;0</f>
        <v>0</v>
      </c>
      <c r="E80" s="28" t="b">
        <f>COUNTIFS(Table36103[[#This Row],[Screening Results: Drug &amp; Alcohol Assessment 1]:[Other Reason 9]], "Start new service")&gt;0</f>
        <v>0</v>
      </c>
      <c r="F80" s="55"/>
      <c r="G80" s="56"/>
      <c r="H80" s="57"/>
      <c r="I80" s="57"/>
      <c r="J80" s="57"/>
      <c r="K80" s="57"/>
      <c r="L80" s="57"/>
      <c r="M80" s="57"/>
      <c r="N80" s="45"/>
      <c r="O80" s="58"/>
      <c r="P80" s="56"/>
      <c r="Q80" s="57"/>
      <c r="R80" s="57"/>
      <c r="S80" s="57"/>
      <c r="T80" s="57"/>
      <c r="U80" s="57"/>
      <c r="V80" s="57"/>
      <c r="W80" s="45"/>
      <c r="X80" s="65"/>
      <c r="Y80" s="56"/>
      <c r="Z80" s="57"/>
      <c r="AA80" s="57"/>
      <c r="AB80" s="57"/>
      <c r="AC80" s="57"/>
      <c r="AD80" s="57"/>
      <c r="AE80" s="57"/>
      <c r="AF80" s="45"/>
      <c r="AG80" s="65"/>
      <c r="AH80" s="56"/>
      <c r="AI80" s="57"/>
      <c r="AJ80" s="57"/>
      <c r="AK80" s="57"/>
      <c r="AL80" s="57"/>
      <c r="AM80" s="57"/>
      <c r="AN80" s="57"/>
      <c r="AO80" s="45"/>
      <c r="AP80" s="65"/>
      <c r="AQ80" s="56"/>
      <c r="AR80" s="57"/>
      <c r="AS80" s="57"/>
      <c r="AT80" s="57"/>
      <c r="AU80" s="57"/>
      <c r="AV80" s="57"/>
      <c r="AW80" s="57"/>
      <c r="AX80" s="45"/>
      <c r="AY80" s="65"/>
      <c r="AZ80" s="56"/>
      <c r="BA80" s="55"/>
      <c r="BB80" s="55"/>
      <c r="BC80" s="55"/>
      <c r="BD80" s="55"/>
      <c r="BE80" s="55"/>
      <c r="BF80" s="55"/>
      <c r="BG80" s="45"/>
      <c r="BH80" s="65"/>
      <c r="BI80" s="55"/>
      <c r="BJ80" s="55"/>
      <c r="BK80" s="55"/>
      <c r="BL80" s="55"/>
      <c r="BM80" s="55"/>
      <c r="BN80" s="55"/>
      <c r="BO80" s="55"/>
      <c r="BP80" s="55"/>
      <c r="BQ80" s="65"/>
      <c r="BR80" s="55"/>
      <c r="BS80" s="55"/>
      <c r="BT80" s="55"/>
      <c r="BU80" s="55"/>
      <c r="BV80" s="55"/>
      <c r="BW80" s="55"/>
      <c r="BX80" s="55"/>
      <c r="BY80" s="55"/>
      <c r="BZ80" s="65"/>
      <c r="CA80" s="55"/>
      <c r="CB80" s="55"/>
      <c r="CC80" s="55"/>
      <c r="CD80" s="55"/>
      <c r="CE80" s="55"/>
      <c r="CF80" s="55"/>
      <c r="CG80" s="55"/>
      <c r="CH80" s="55"/>
      <c r="CI80" s="55"/>
    </row>
    <row r="81" spans="1:87">
      <c r="A81" s="12" t="str">
        <f>Roster!A81</f>
        <v/>
      </c>
      <c r="B81" s="28">
        <f>Roster!C81</f>
        <v>0</v>
      </c>
      <c r="C81" s="28" t="str">
        <f>IF(COUNTIFS(Table36103[[#This Row],[Continue Existing]:[Start New]], "TRUE")=0, "YES", "NO")</f>
        <v>YES</v>
      </c>
      <c r="D81" s="28" t="b">
        <f>COUNTIFS(Table36103[[#This Row],[Screening Results: Drug &amp; Alcohol Assessment 1]:[Other Reason 9]], "Continue with existing treatment services")&gt;0</f>
        <v>0</v>
      </c>
      <c r="E81" s="28" t="b">
        <f>COUNTIFS(Table36103[[#This Row],[Screening Results: Drug &amp; Alcohol Assessment 1]:[Other Reason 9]], "Start new service")&gt;0</f>
        <v>0</v>
      </c>
      <c r="F81" s="55"/>
      <c r="G81" s="56"/>
      <c r="H81" s="57"/>
      <c r="I81" s="57"/>
      <c r="J81" s="57"/>
      <c r="K81" s="57"/>
      <c r="L81" s="57"/>
      <c r="M81" s="57"/>
      <c r="N81" s="45"/>
      <c r="O81" s="58"/>
      <c r="P81" s="56"/>
      <c r="Q81" s="57"/>
      <c r="R81" s="57"/>
      <c r="S81" s="57"/>
      <c r="T81" s="57"/>
      <c r="U81" s="57"/>
      <c r="V81" s="57"/>
      <c r="W81" s="45"/>
      <c r="X81" s="65"/>
      <c r="Y81" s="56"/>
      <c r="Z81" s="57"/>
      <c r="AA81" s="57"/>
      <c r="AB81" s="57"/>
      <c r="AC81" s="57"/>
      <c r="AD81" s="57"/>
      <c r="AE81" s="57"/>
      <c r="AF81" s="45"/>
      <c r="AG81" s="65"/>
      <c r="AH81" s="56"/>
      <c r="AI81" s="57"/>
      <c r="AJ81" s="57"/>
      <c r="AK81" s="57"/>
      <c r="AL81" s="57"/>
      <c r="AM81" s="57"/>
      <c r="AN81" s="57"/>
      <c r="AO81" s="45"/>
      <c r="AP81" s="65"/>
      <c r="AQ81" s="56"/>
      <c r="AR81" s="57"/>
      <c r="AS81" s="57"/>
      <c r="AT81" s="57"/>
      <c r="AU81" s="57"/>
      <c r="AV81" s="57"/>
      <c r="AW81" s="57"/>
      <c r="AX81" s="45"/>
      <c r="AY81" s="65"/>
      <c r="AZ81" s="56"/>
      <c r="BA81" s="55"/>
      <c r="BB81" s="55"/>
      <c r="BC81" s="55"/>
      <c r="BD81" s="55"/>
      <c r="BE81" s="55"/>
      <c r="BF81" s="55"/>
      <c r="BG81" s="45"/>
      <c r="BH81" s="65"/>
      <c r="BI81" s="55"/>
      <c r="BJ81" s="55"/>
      <c r="BK81" s="55"/>
      <c r="BL81" s="55"/>
      <c r="BM81" s="55"/>
      <c r="BN81" s="55"/>
      <c r="BO81" s="55"/>
      <c r="BP81" s="55"/>
      <c r="BQ81" s="65"/>
      <c r="BR81" s="55"/>
      <c r="BS81" s="55"/>
      <c r="BT81" s="55"/>
      <c r="BU81" s="55"/>
      <c r="BV81" s="55"/>
      <c r="BW81" s="55"/>
      <c r="BX81" s="55"/>
      <c r="BY81" s="55"/>
      <c r="BZ81" s="65"/>
      <c r="CA81" s="55"/>
      <c r="CB81" s="55"/>
      <c r="CC81" s="55"/>
      <c r="CD81" s="55"/>
      <c r="CE81" s="55"/>
      <c r="CF81" s="55"/>
      <c r="CG81" s="55"/>
      <c r="CH81" s="55"/>
      <c r="CI81" s="55"/>
    </row>
    <row r="82" spans="1:87">
      <c r="A82" s="12" t="str">
        <f>Roster!A82</f>
        <v/>
      </c>
      <c r="B82" s="28">
        <f>Roster!C82</f>
        <v>0</v>
      </c>
      <c r="C82" s="28" t="str">
        <f>IF(COUNTIFS(Table36103[[#This Row],[Continue Existing]:[Start New]], "TRUE")=0, "YES", "NO")</f>
        <v>YES</v>
      </c>
      <c r="D82" s="28" t="b">
        <f>COUNTIFS(Table36103[[#This Row],[Screening Results: Drug &amp; Alcohol Assessment 1]:[Other Reason 9]], "Continue with existing treatment services")&gt;0</f>
        <v>0</v>
      </c>
      <c r="E82" s="28" t="b">
        <f>COUNTIFS(Table36103[[#This Row],[Screening Results: Drug &amp; Alcohol Assessment 1]:[Other Reason 9]], "Start new service")&gt;0</f>
        <v>0</v>
      </c>
      <c r="F82" s="55"/>
      <c r="G82" s="56"/>
      <c r="H82" s="57"/>
      <c r="I82" s="57"/>
      <c r="J82" s="57"/>
      <c r="K82" s="57"/>
      <c r="L82" s="57"/>
      <c r="M82" s="57"/>
      <c r="N82" s="45"/>
      <c r="O82" s="58"/>
      <c r="P82" s="56"/>
      <c r="Q82" s="57"/>
      <c r="R82" s="57"/>
      <c r="S82" s="57"/>
      <c r="T82" s="57"/>
      <c r="U82" s="57"/>
      <c r="V82" s="57"/>
      <c r="W82" s="45"/>
      <c r="X82" s="65"/>
      <c r="Y82" s="56"/>
      <c r="Z82" s="57"/>
      <c r="AA82" s="57"/>
      <c r="AB82" s="57"/>
      <c r="AC82" s="57"/>
      <c r="AD82" s="57"/>
      <c r="AE82" s="57"/>
      <c r="AF82" s="45"/>
      <c r="AG82" s="65"/>
      <c r="AH82" s="56"/>
      <c r="AI82" s="57"/>
      <c r="AJ82" s="57"/>
      <c r="AK82" s="57"/>
      <c r="AL82" s="57"/>
      <c r="AM82" s="57"/>
      <c r="AN82" s="57"/>
      <c r="AO82" s="45"/>
      <c r="AP82" s="65"/>
      <c r="AQ82" s="56"/>
      <c r="AR82" s="57"/>
      <c r="AS82" s="57"/>
      <c r="AT82" s="57"/>
      <c r="AU82" s="57"/>
      <c r="AV82" s="57"/>
      <c r="AW82" s="57"/>
      <c r="AX82" s="45"/>
      <c r="AY82" s="65"/>
      <c r="AZ82" s="56"/>
      <c r="BA82" s="55"/>
      <c r="BB82" s="55"/>
      <c r="BC82" s="55"/>
      <c r="BD82" s="55"/>
      <c r="BE82" s="55"/>
      <c r="BF82" s="55"/>
      <c r="BG82" s="45"/>
      <c r="BH82" s="65"/>
      <c r="BI82" s="55"/>
      <c r="BJ82" s="55"/>
      <c r="BK82" s="55"/>
      <c r="BL82" s="55"/>
      <c r="BM82" s="55"/>
      <c r="BN82" s="55"/>
      <c r="BO82" s="55"/>
      <c r="BP82" s="55"/>
      <c r="BQ82" s="65"/>
      <c r="BR82" s="55"/>
      <c r="BS82" s="55"/>
      <c r="BT82" s="55"/>
      <c r="BU82" s="55"/>
      <c r="BV82" s="55"/>
      <c r="BW82" s="55"/>
      <c r="BX82" s="55"/>
      <c r="BY82" s="55"/>
      <c r="BZ82" s="65"/>
      <c r="CA82" s="55"/>
      <c r="CB82" s="55"/>
      <c r="CC82" s="55"/>
      <c r="CD82" s="55"/>
      <c r="CE82" s="55"/>
      <c r="CF82" s="55"/>
      <c r="CG82" s="55"/>
      <c r="CH82" s="55"/>
      <c r="CI82" s="55"/>
    </row>
    <row r="83" spans="1:87">
      <c r="A83" s="12" t="str">
        <f>Roster!A83</f>
        <v/>
      </c>
      <c r="B83" s="28">
        <f>Roster!C83</f>
        <v>0</v>
      </c>
      <c r="C83" s="28" t="str">
        <f>IF(COUNTIFS(Table36103[[#This Row],[Continue Existing]:[Start New]], "TRUE")=0, "YES", "NO")</f>
        <v>YES</v>
      </c>
      <c r="D83" s="28" t="b">
        <f>COUNTIFS(Table36103[[#This Row],[Screening Results: Drug &amp; Alcohol Assessment 1]:[Other Reason 9]], "Continue with existing treatment services")&gt;0</f>
        <v>0</v>
      </c>
      <c r="E83" s="28" t="b">
        <f>COUNTIFS(Table36103[[#This Row],[Screening Results: Drug &amp; Alcohol Assessment 1]:[Other Reason 9]], "Start new service")&gt;0</f>
        <v>0</v>
      </c>
      <c r="F83" s="55"/>
      <c r="G83" s="56"/>
      <c r="H83" s="57"/>
      <c r="I83" s="57"/>
      <c r="J83" s="57"/>
      <c r="K83" s="57"/>
      <c r="L83" s="57"/>
      <c r="M83" s="57"/>
      <c r="N83" s="45"/>
      <c r="O83" s="58"/>
      <c r="P83" s="56"/>
      <c r="Q83" s="57"/>
      <c r="R83" s="57"/>
      <c r="S83" s="57"/>
      <c r="T83" s="57"/>
      <c r="U83" s="57"/>
      <c r="V83" s="57"/>
      <c r="W83" s="45"/>
      <c r="X83" s="65"/>
      <c r="Y83" s="56"/>
      <c r="Z83" s="57"/>
      <c r="AA83" s="57"/>
      <c r="AB83" s="57"/>
      <c r="AC83" s="57"/>
      <c r="AD83" s="57"/>
      <c r="AE83" s="57"/>
      <c r="AF83" s="45"/>
      <c r="AG83" s="65"/>
      <c r="AH83" s="56"/>
      <c r="AI83" s="57"/>
      <c r="AJ83" s="57"/>
      <c r="AK83" s="57"/>
      <c r="AL83" s="57"/>
      <c r="AM83" s="57"/>
      <c r="AN83" s="57"/>
      <c r="AO83" s="45"/>
      <c r="AP83" s="65"/>
      <c r="AQ83" s="56"/>
      <c r="AR83" s="57"/>
      <c r="AS83" s="57"/>
      <c r="AT83" s="57"/>
      <c r="AU83" s="57"/>
      <c r="AV83" s="57"/>
      <c r="AW83" s="57"/>
      <c r="AX83" s="45"/>
      <c r="AY83" s="65"/>
      <c r="AZ83" s="56"/>
      <c r="BA83" s="55"/>
      <c r="BB83" s="55"/>
      <c r="BC83" s="55"/>
      <c r="BD83" s="55"/>
      <c r="BE83" s="55"/>
      <c r="BF83" s="55"/>
      <c r="BG83" s="45"/>
      <c r="BH83" s="65"/>
      <c r="BI83" s="55"/>
      <c r="BJ83" s="55"/>
      <c r="BK83" s="55"/>
      <c r="BL83" s="55"/>
      <c r="BM83" s="55"/>
      <c r="BN83" s="55"/>
      <c r="BO83" s="55"/>
      <c r="BP83" s="55"/>
      <c r="BQ83" s="65"/>
      <c r="BR83" s="55"/>
      <c r="BS83" s="55"/>
      <c r="BT83" s="55"/>
      <c r="BU83" s="55"/>
      <c r="BV83" s="55"/>
      <c r="BW83" s="55"/>
      <c r="BX83" s="55"/>
      <c r="BY83" s="55"/>
      <c r="BZ83" s="65"/>
      <c r="CA83" s="55"/>
      <c r="CB83" s="55"/>
      <c r="CC83" s="55"/>
      <c r="CD83" s="55"/>
      <c r="CE83" s="55"/>
      <c r="CF83" s="55"/>
      <c r="CG83" s="55"/>
      <c r="CH83" s="55"/>
      <c r="CI83" s="55"/>
    </row>
    <row r="84" spans="1:87">
      <c r="A84" s="12" t="str">
        <f>Roster!A84</f>
        <v/>
      </c>
      <c r="B84" s="28">
        <f>Roster!C84</f>
        <v>0</v>
      </c>
      <c r="C84" s="28" t="str">
        <f>IF(COUNTIFS(Table36103[[#This Row],[Continue Existing]:[Start New]], "TRUE")=0, "YES", "NO")</f>
        <v>YES</v>
      </c>
      <c r="D84" s="28" t="b">
        <f>COUNTIFS(Table36103[[#This Row],[Screening Results: Drug &amp; Alcohol Assessment 1]:[Other Reason 9]], "Continue with existing treatment services")&gt;0</f>
        <v>0</v>
      </c>
      <c r="E84" s="28" t="b">
        <f>COUNTIFS(Table36103[[#This Row],[Screening Results: Drug &amp; Alcohol Assessment 1]:[Other Reason 9]], "Start new service")&gt;0</f>
        <v>0</v>
      </c>
      <c r="F84" s="55"/>
      <c r="G84" s="56"/>
      <c r="H84" s="57"/>
      <c r="I84" s="57"/>
      <c r="J84" s="57"/>
      <c r="K84" s="57"/>
      <c r="L84" s="57"/>
      <c r="M84" s="57"/>
      <c r="N84" s="45"/>
      <c r="O84" s="58"/>
      <c r="P84" s="56"/>
      <c r="Q84" s="57"/>
      <c r="R84" s="57"/>
      <c r="S84" s="57"/>
      <c r="T84" s="57"/>
      <c r="U84" s="57"/>
      <c r="V84" s="57"/>
      <c r="W84" s="45"/>
      <c r="X84" s="65"/>
      <c r="Y84" s="56"/>
      <c r="Z84" s="57"/>
      <c r="AA84" s="57"/>
      <c r="AB84" s="57"/>
      <c r="AC84" s="57"/>
      <c r="AD84" s="57"/>
      <c r="AE84" s="57"/>
      <c r="AF84" s="45"/>
      <c r="AG84" s="65"/>
      <c r="AH84" s="56"/>
      <c r="AI84" s="57"/>
      <c r="AJ84" s="57"/>
      <c r="AK84" s="57"/>
      <c r="AL84" s="57"/>
      <c r="AM84" s="57"/>
      <c r="AN84" s="57"/>
      <c r="AO84" s="45"/>
      <c r="AP84" s="65"/>
      <c r="AQ84" s="56"/>
      <c r="AR84" s="57"/>
      <c r="AS84" s="57"/>
      <c r="AT84" s="57"/>
      <c r="AU84" s="57"/>
      <c r="AV84" s="57"/>
      <c r="AW84" s="57"/>
      <c r="AX84" s="45"/>
      <c r="AY84" s="65"/>
      <c r="AZ84" s="56"/>
      <c r="BA84" s="55"/>
      <c r="BB84" s="55"/>
      <c r="BC84" s="55"/>
      <c r="BD84" s="55"/>
      <c r="BE84" s="55"/>
      <c r="BF84" s="55"/>
      <c r="BG84" s="45"/>
      <c r="BH84" s="65"/>
      <c r="BI84" s="55"/>
      <c r="BJ84" s="55"/>
      <c r="BK84" s="55"/>
      <c r="BL84" s="55"/>
      <c r="BM84" s="55"/>
      <c r="BN84" s="55"/>
      <c r="BO84" s="55"/>
      <c r="BP84" s="55"/>
      <c r="BQ84" s="65"/>
      <c r="BR84" s="55"/>
      <c r="BS84" s="55"/>
      <c r="BT84" s="55"/>
      <c r="BU84" s="55"/>
      <c r="BV84" s="55"/>
      <c r="BW84" s="55"/>
      <c r="BX84" s="55"/>
      <c r="BY84" s="55"/>
      <c r="BZ84" s="65"/>
      <c r="CA84" s="55"/>
      <c r="CB84" s="55"/>
      <c r="CC84" s="55"/>
      <c r="CD84" s="55"/>
      <c r="CE84" s="55"/>
      <c r="CF84" s="55"/>
      <c r="CG84" s="55"/>
      <c r="CH84" s="55"/>
      <c r="CI84" s="55"/>
    </row>
    <row r="85" spans="1:87">
      <c r="A85" s="12" t="str">
        <f>Roster!A85</f>
        <v/>
      </c>
      <c r="B85" s="28">
        <f>Roster!C85</f>
        <v>0</v>
      </c>
      <c r="C85" s="28" t="str">
        <f>IF(COUNTIFS(Table36103[[#This Row],[Continue Existing]:[Start New]], "TRUE")=0, "YES", "NO")</f>
        <v>YES</v>
      </c>
      <c r="D85" s="28" t="b">
        <f>COUNTIFS(Table36103[[#This Row],[Screening Results: Drug &amp; Alcohol Assessment 1]:[Other Reason 9]], "Continue with existing treatment services")&gt;0</f>
        <v>0</v>
      </c>
      <c r="E85" s="28" t="b">
        <f>COUNTIFS(Table36103[[#This Row],[Screening Results: Drug &amp; Alcohol Assessment 1]:[Other Reason 9]], "Start new service")&gt;0</f>
        <v>0</v>
      </c>
      <c r="F85" s="55"/>
      <c r="G85" s="56"/>
      <c r="H85" s="57"/>
      <c r="I85" s="57"/>
      <c r="J85" s="57"/>
      <c r="K85" s="57"/>
      <c r="L85" s="57"/>
      <c r="M85" s="57"/>
      <c r="N85" s="45"/>
      <c r="O85" s="58"/>
      <c r="P85" s="56"/>
      <c r="Q85" s="57"/>
      <c r="R85" s="57"/>
      <c r="S85" s="57"/>
      <c r="T85" s="57"/>
      <c r="U85" s="57"/>
      <c r="V85" s="57"/>
      <c r="W85" s="45"/>
      <c r="X85" s="65"/>
      <c r="Y85" s="56"/>
      <c r="Z85" s="57"/>
      <c r="AA85" s="57"/>
      <c r="AB85" s="57"/>
      <c r="AC85" s="57"/>
      <c r="AD85" s="57"/>
      <c r="AE85" s="57"/>
      <c r="AF85" s="45"/>
      <c r="AG85" s="65"/>
      <c r="AH85" s="56"/>
      <c r="AI85" s="57"/>
      <c r="AJ85" s="57"/>
      <c r="AK85" s="57"/>
      <c r="AL85" s="57"/>
      <c r="AM85" s="57"/>
      <c r="AN85" s="57"/>
      <c r="AO85" s="45"/>
      <c r="AP85" s="65"/>
      <c r="AQ85" s="56"/>
      <c r="AR85" s="57"/>
      <c r="AS85" s="57"/>
      <c r="AT85" s="57"/>
      <c r="AU85" s="57"/>
      <c r="AV85" s="57"/>
      <c r="AW85" s="57"/>
      <c r="AX85" s="45"/>
      <c r="AY85" s="65"/>
      <c r="AZ85" s="56"/>
      <c r="BA85" s="55"/>
      <c r="BB85" s="55"/>
      <c r="BC85" s="55"/>
      <c r="BD85" s="55"/>
      <c r="BE85" s="55"/>
      <c r="BF85" s="55"/>
      <c r="BG85" s="45"/>
      <c r="BH85" s="65"/>
      <c r="BI85" s="55"/>
      <c r="BJ85" s="55"/>
      <c r="BK85" s="55"/>
      <c r="BL85" s="55"/>
      <c r="BM85" s="55"/>
      <c r="BN85" s="55"/>
      <c r="BO85" s="55"/>
      <c r="BP85" s="55"/>
      <c r="BQ85" s="65"/>
      <c r="BR85" s="55"/>
      <c r="BS85" s="55"/>
      <c r="BT85" s="55"/>
      <c r="BU85" s="55"/>
      <c r="BV85" s="55"/>
      <c r="BW85" s="55"/>
      <c r="BX85" s="55"/>
      <c r="BY85" s="55"/>
      <c r="BZ85" s="65"/>
      <c r="CA85" s="55"/>
      <c r="CB85" s="55"/>
      <c r="CC85" s="55"/>
      <c r="CD85" s="55"/>
      <c r="CE85" s="55"/>
      <c r="CF85" s="55"/>
      <c r="CG85" s="55"/>
      <c r="CH85" s="55"/>
      <c r="CI85" s="55"/>
    </row>
    <row r="86" spans="1:87">
      <c r="A86" s="12" t="str">
        <f>Roster!A86</f>
        <v/>
      </c>
      <c r="B86" s="28">
        <f>Roster!C86</f>
        <v>0</v>
      </c>
      <c r="C86" s="28" t="str">
        <f>IF(COUNTIFS(Table36103[[#This Row],[Continue Existing]:[Start New]], "TRUE")=0, "YES", "NO")</f>
        <v>YES</v>
      </c>
      <c r="D86" s="28" t="b">
        <f>COUNTIFS(Table36103[[#This Row],[Screening Results: Drug &amp; Alcohol Assessment 1]:[Other Reason 9]], "Continue with existing treatment services")&gt;0</f>
        <v>0</v>
      </c>
      <c r="E86" s="28" t="b">
        <f>COUNTIFS(Table36103[[#This Row],[Screening Results: Drug &amp; Alcohol Assessment 1]:[Other Reason 9]], "Start new service")&gt;0</f>
        <v>0</v>
      </c>
      <c r="F86" s="55"/>
      <c r="G86" s="56"/>
      <c r="H86" s="57"/>
      <c r="I86" s="57"/>
      <c r="J86" s="57"/>
      <c r="K86" s="57"/>
      <c r="L86" s="57"/>
      <c r="M86" s="57"/>
      <c r="N86" s="45"/>
      <c r="O86" s="58"/>
      <c r="P86" s="56"/>
      <c r="Q86" s="57"/>
      <c r="R86" s="57"/>
      <c r="S86" s="57"/>
      <c r="T86" s="57"/>
      <c r="U86" s="57"/>
      <c r="V86" s="57"/>
      <c r="W86" s="45"/>
      <c r="X86" s="65"/>
      <c r="Y86" s="56"/>
      <c r="Z86" s="57"/>
      <c r="AA86" s="57"/>
      <c r="AB86" s="57"/>
      <c r="AC86" s="57"/>
      <c r="AD86" s="57"/>
      <c r="AE86" s="57"/>
      <c r="AF86" s="45"/>
      <c r="AG86" s="65"/>
      <c r="AH86" s="56"/>
      <c r="AI86" s="57"/>
      <c r="AJ86" s="57"/>
      <c r="AK86" s="57"/>
      <c r="AL86" s="57"/>
      <c r="AM86" s="57"/>
      <c r="AN86" s="57"/>
      <c r="AO86" s="45"/>
      <c r="AP86" s="65"/>
      <c r="AQ86" s="56"/>
      <c r="AR86" s="57"/>
      <c r="AS86" s="57"/>
      <c r="AT86" s="57"/>
      <c r="AU86" s="57"/>
      <c r="AV86" s="57"/>
      <c r="AW86" s="57"/>
      <c r="AX86" s="45"/>
      <c r="AY86" s="65"/>
      <c r="AZ86" s="56"/>
      <c r="BA86" s="55"/>
      <c r="BB86" s="55"/>
      <c r="BC86" s="55"/>
      <c r="BD86" s="55"/>
      <c r="BE86" s="55"/>
      <c r="BF86" s="55"/>
      <c r="BG86" s="45"/>
      <c r="BH86" s="65"/>
      <c r="BI86" s="55"/>
      <c r="BJ86" s="55"/>
      <c r="BK86" s="55"/>
      <c r="BL86" s="55"/>
      <c r="BM86" s="55"/>
      <c r="BN86" s="55"/>
      <c r="BO86" s="55"/>
      <c r="BP86" s="55"/>
      <c r="BQ86" s="65"/>
      <c r="BR86" s="55"/>
      <c r="BS86" s="55"/>
      <c r="BT86" s="55"/>
      <c r="BU86" s="55"/>
      <c r="BV86" s="55"/>
      <c r="BW86" s="55"/>
      <c r="BX86" s="55"/>
      <c r="BY86" s="55"/>
      <c r="BZ86" s="65"/>
      <c r="CA86" s="55"/>
      <c r="CB86" s="55"/>
      <c r="CC86" s="55"/>
      <c r="CD86" s="55"/>
      <c r="CE86" s="55"/>
      <c r="CF86" s="55"/>
      <c r="CG86" s="55"/>
      <c r="CH86" s="55"/>
      <c r="CI86" s="55"/>
    </row>
    <row r="87" spans="1:87">
      <c r="A87" s="12" t="str">
        <f>Roster!A87</f>
        <v/>
      </c>
      <c r="B87" s="28">
        <f>Roster!C87</f>
        <v>0</v>
      </c>
      <c r="C87" s="28" t="str">
        <f>IF(COUNTIFS(Table36103[[#This Row],[Continue Existing]:[Start New]], "TRUE")=0, "YES", "NO")</f>
        <v>YES</v>
      </c>
      <c r="D87" s="28" t="b">
        <f>COUNTIFS(Table36103[[#This Row],[Screening Results: Drug &amp; Alcohol Assessment 1]:[Other Reason 9]], "Continue with existing treatment services")&gt;0</f>
        <v>0</v>
      </c>
      <c r="E87" s="28" t="b">
        <f>COUNTIFS(Table36103[[#This Row],[Screening Results: Drug &amp; Alcohol Assessment 1]:[Other Reason 9]], "Start new service")&gt;0</f>
        <v>0</v>
      </c>
      <c r="F87" s="55"/>
      <c r="G87" s="56"/>
      <c r="H87" s="57"/>
      <c r="I87" s="57"/>
      <c r="J87" s="57"/>
      <c r="K87" s="57"/>
      <c r="L87" s="57"/>
      <c r="M87" s="57"/>
      <c r="N87" s="45"/>
      <c r="O87" s="58"/>
      <c r="P87" s="56"/>
      <c r="Q87" s="57"/>
      <c r="R87" s="57"/>
      <c r="S87" s="57"/>
      <c r="T87" s="57"/>
      <c r="U87" s="57"/>
      <c r="V87" s="57"/>
      <c r="W87" s="45"/>
      <c r="X87" s="65"/>
      <c r="Y87" s="56"/>
      <c r="Z87" s="57"/>
      <c r="AA87" s="57"/>
      <c r="AB87" s="57"/>
      <c r="AC87" s="57"/>
      <c r="AD87" s="57"/>
      <c r="AE87" s="57"/>
      <c r="AF87" s="45"/>
      <c r="AG87" s="65"/>
      <c r="AH87" s="56"/>
      <c r="AI87" s="57"/>
      <c r="AJ87" s="57"/>
      <c r="AK87" s="57"/>
      <c r="AL87" s="57"/>
      <c r="AM87" s="57"/>
      <c r="AN87" s="57"/>
      <c r="AO87" s="45"/>
      <c r="AP87" s="65"/>
      <c r="AQ87" s="56"/>
      <c r="AR87" s="57"/>
      <c r="AS87" s="57"/>
      <c r="AT87" s="57"/>
      <c r="AU87" s="57"/>
      <c r="AV87" s="57"/>
      <c r="AW87" s="57"/>
      <c r="AX87" s="45"/>
      <c r="AY87" s="65"/>
      <c r="AZ87" s="56"/>
      <c r="BA87" s="55"/>
      <c r="BB87" s="55"/>
      <c r="BC87" s="55"/>
      <c r="BD87" s="55"/>
      <c r="BE87" s="55"/>
      <c r="BF87" s="55"/>
      <c r="BG87" s="45"/>
      <c r="BH87" s="65"/>
      <c r="BI87" s="55"/>
      <c r="BJ87" s="55"/>
      <c r="BK87" s="55"/>
      <c r="BL87" s="55"/>
      <c r="BM87" s="55"/>
      <c r="BN87" s="55"/>
      <c r="BO87" s="55"/>
      <c r="BP87" s="55"/>
      <c r="BQ87" s="65"/>
      <c r="BR87" s="55"/>
      <c r="BS87" s="55"/>
      <c r="BT87" s="55"/>
      <c r="BU87" s="55"/>
      <c r="BV87" s="55"/>
      <c r="BW87" s="55"/>
      <c r="BX87" s="55"/>
      <c r="BY87" s="55"/>
      <c r="BZ87" s="65"/>
      <c r="CA87" s="55"/>
      <c r="CB87" s="55"/>
      <c r="CC87" s="55"/>
      <c r="CD87" s="55"/>
      <c r="CE87" s="55"/>
      <c r="CF87" s="55"/>
      <c r="CG87" s="55"/>
      <c r="CH87" s="55"/>
      <c r="CI87" s="55"/>
    </row>
    <row r="88" spans="1:87">
      <c r="A88" s="12" t="str">
        <f>Roster!A88</f>
        <v/>
      </c>
      <c r="B88" s="28">
        <f>Roster!C88</f>
        <v>0</v>
      </c>
      <c r="C88" s="28" t="str">
        <f>IF(COUNTIFS(Table36103[[#This Row],[Continue Existing]:[Start New]], "TRUE")=0, "YES", "NO")</f>
        <v>YES</v>
      </c>
      <c r="D88" s="28" t="b">
        <f>COUNTIFS(Table36103[[#This Row],[Screening Results: Drug &amp; Alcohol Assessment 1]:[Other Reason 9]], "Continue with existing treatment services")&gt;0</f>
        <v>0</v>
      </c>
      <c r="E88" s="28" t="b">
        <f>COUNTIFS(Table36103[[#This Row],[Screening Results: Drug &amp; Alcohol Assessment 1]:[Other Reason 9]], "Start new service")&gt;0</f>
        <v>0</v>
      </c>
      <c r="F88" s="55"/>
      <c r="G88" s="56"/>
      <c r="H88" s="57"/>
      <c r="I88" s="57"/>
      <c r="J88" s="57"/>
      <c r="K88" s="57"/>
      <c r="L88" s="57"/>
      <c r="M88" s="57"/>
      <c r="N88" s="45"/>
      <c r="O88" s="58"/>
      <c r="P88" s="56"/>
      <c r="Q88" s="57"/>
      <c r="R88" s="57"/>
      <c r="S88" s="57"/>
      <c r="T88" s="57"/>
      <c r="U88" s="57"/>
      <c r="V88" s="57"/>
      <c r="W88" s="45"/>
      <c r="X88" s="65"/>
      <c r="Y88" s="56"/>
      <c r="Z88" s="57"/>
      <c r="AA88" s="57"/>
      <c r="AB88" s="57"/>
      <c r="AC88" s="57"/>
      <c r="AD88" s="57"/>
      <c r="AE88" s="57"/>
      <c r="AF88" s="45"/>
      <c r="AG88" s="65"/>
      <c r="AH88" s="56"/>
      <c r="AI88" s="57"/>
      <c r="AJ88" s="57"/>
      <c r="AK88" s="57"/>
      <c r="AL88" s="57"/>
      <c r="AM88" s="57"/>
      <c r="AN88" s="57"/>
      <c r="AO88" s="45"/>
      <c r="AP88" s="65"/>
      <c r="AQ88" s="56"/>
      <c r="AR88" s="57"/>
      <c r="AS88" s="57"/>
      <c r="AT88" s="57"/>
      <c r="AU88" s="57"/>
      <c r="AV88" s="57"/>
      <c r="AW88" s="57"/>
      <c r="AX88" s="45"/>
      <c r="AY88" s="65"/>
      <c r="AZ88" s="56"/>
      <c r="BA88" s="55"/>
      <c r="BB88" s="55"/>
      <c r="BC88" s="55"/>
      <c r="BD88" s="55"/>
      <c r="BE88" s="55"/>
      <c r="BF88" s="55"/>
      <c r="BG88" s="45"/>
      <c r="BH88" s="65"/>
      <c r="BI88" s="55"/>
      <c r="BJ88" s="55"/>
      <c r="BK88" s="55"/>
      <c r="BL88" s="55"/>
      <c r="BM88" s="55"/>
      <c r="BN88" s="55"/>
      <c r="BO88" s="55"/>
      <c r="BP88" s="55"/>
      <c r="BQ88" s="65"/>
      <c r="BR88" s="55"/>
      <c r="BS88" s="55"/>
      <c r="BT88" s="55"/>
      <c r="BU88" s="55"/>
      <c r="BV88" s="55"/>
      <c r="BW88" s="55"/>
      <c r="BX88" s="55"/>
      <c r="BY88" s="55"/>
      <c r="BZ88" s="65"/>
      <c r="CA88" s="55"/>
      <c r="CB88" s="55"/>
      <c r="CC88" s="55"/>
      <c r="CD88" s="55"/>
      <c r="CE88" s="55"/>
      <c r="CF88" s="55"/>
      <c r="CG88" s="55"/>
      <c r="CH88" s="55"/>
      <c r="CI88" s="55"/>
    </row>
    <row r="89" spans="1:87">
      <c r="A89" s="12" t="str">
        <f>Roster!A89</f>
        <v/>
      </c>
      <c r="B89" s="28">
        <f>Roster!C89</f>
        <v>0</v>
      </c>
      <c r="C89" s="28" t="str">
        <f>IF(COUNTIFS(Table36103[[#This Row],[Continue Existing]:[Start New]], "TRUE")=0, "YES", "NO")</f>
        <v>YES</v>
      </c>
      <c r="D89" s="28" t="b">
        <f>COUNTIFS(Table36103[[#This Row],[Screening Results: Drug &amp; Alcohol Assessment 1]:[Other Reason 9]], "Continue with existing treatment services")&gt;0</f>
        <v>0</v>
      </c>
      <c r="E89" s="28" t="b">
        <f>COUNTIFS(Table36103[[#This Row],[Screening Results: Drug &amp; Alcohol Assessment 1]:[Other Reason 9]], "Start new service")&gt;0</f>
        <v>0</v>
      </c>
      <c r="F89" s="55"/>
      <c r="G89" s="56"/>
      <c r="H89" s="57"/>
      <c r="I89" s="57"/>
      <c r="J89" s="57"/>
      <c r="K89" s="57"/>
      <c r="L89" s="57"/>
      <c r="M89" s="57"/>
      <c r="N89" s="45"/>
      <c r="O89" s="58"/>
      <c r="P89" s="56"/>
      <c r="Q89" s="57"/>
      <c r="R89" s="57"/>
      <c r="S89" s="57"/>
      <c r="T89" s="57"/>
      <c r="U89" s="57"/>
      <c r="V89" s="57"/>
      <c r="W89" s="45"/>
      <c r="X89" s="65"/>
      <c r="Y89" s="56"/>
      <c r="Z89" s="57"/>
      <c r="AA89" s="57"/>
      <c r="AB89" s="57"/>
      <c r="AC89" s="57"/>
      <c r="AD89" s="57"/>
      <c r="AE89" s="57"/>
      <c r="AF89" s="45"/>
      <c r="AG89" s="65"/>
      <c r="AH89" s="56"/>
      <c r="AI89" s="57"/>
      <c r="AJ89" s="57"/>
      <c r="AK89" s="57"/>
      <c r="AL89" s="57"/>
      <c r="AM89" s="57"/>
      <c r="AN89" s="57"/>
      <c r="AO89" s="45"/>
      <c r="AP89" s="65"/>
      <c r="AQ89" s="56"/>
      <c r="AR89" s="57"/>
      <c r="AS89" s="57"/>
      <c r="AT89" s="57"/>
      <c r="AU89" s="57"/>
      <c r="AV89" s="57"/>
      <c r="AW89" s="57"/>
      <c r="AX89" s="45"/>
      <c r="AY89" s="65"/>
      <c r="AZ89" s="56"/>
      <c r="BA89" s="55"/>
      <c r="BB89" s="55"/>
      <c r="BC89" s="55"/>
      <c r="BD89" s="55"/>
      <c r="BE89" s="55"/>
      <c r="BF89" s="55"/>
      <c r="BG89" s="45"/>
      <c r="BH89" s="65"/>
      <c r="BI89" s="55"/>
      <c r="BJ89" s="55"/>
      <c r="BK89" s="55"/>
      <c r="BL89" s="55"/>
      <c r="BM89" s="55"/>
      <c r="BN89" s="55"/>
      <c r="BO89" s="55"/>
      <c r="BP89" s="55"/>
      <c r="BQ89" s="65"/>
      <c r="BR89" s="55"/>
      <c r="BS89" s="55"/>
      <c r="BT89" s="55"/>
      <c r="BU89" s="55"/>
      <c r="BV89" s="55"/>
      <c r="BW89" s="55"/>
      <c r="BX89" s="55"/>
      <c r="BY89" s="55"/>
      <c r="BZ89" s="65"/>
      <c r="CA89" s="55"/>
      <c r="CB89" s="55"/>
      <c r="CC89" s="55"/>
      <c r="CD89" s="55"/>
      <c r="CE89" s="55"/>
      <c r="CF89" s="55"/>
      <c r="CG89" s="55"/>
      <c r="CH89" s="55"/>
      <c r="CI89" s="55"/>
    </row>
    <row r="90" spans="1:87">
      <c r="A90" s="12" t="str">
        <f>Roster!A90</f>
        <v/>
      </c>
      <c r="B90" s="28">
        <f>Roster!C90</f>
        <v>0</v>
      </c>
      <c r="C90" s="28" t="str">
        <f>IF(COUNTIFS(Table36103[[#This Row],[Continue Existing]:[Start New]], "TRUE")=0, "YES", "NO")</f>
        <v>YES</v>
      </c>
      <c r="D90" s="28" t="b">
        <f>COUNTIFS(Table36103[[#This Row],[Screening Results: Drug &amp; Alcohol Assessment 1]:[Other Reason 9]], "Continue with existing treatment services")&gt;0</f>
        <v>0</v>
      </c>
      <c r="E90" s="28" t="b">
        <f>COUNTIFS(Table36103[[#This Row],[Screening Results: Drug &amp; Alcohol Assessment 1]:[Other Reason 9]], "Start new service")&gt;0</f>
        <v>0</v>
      </c>
      <c r="F90" s="55"/>
      <c r="G90" s="56"/>
      <c r="H90" s="57"/>
      <c r="I90" s="57"/>
      <c r="J90" s="57"/>
      <c r="K90" s="57"/>
      <c r="L90" s="57"/>
      <c r="M90" s="57"/>
      <c r="N90" s="45"/>
      <c r="O90" s="58"/>
      <c r="P90" s="56"/>
      <c r="Q90" s="57"/>
      <c r="R90" s="57"/>
      <c r="S90" s="57"/>
      <c r="T90" s="57"/>
      <c r="U90" s="57"/>
      <c r="V90" s="57"/>
      <c r="W90" s="45"/>
      <c r="X90" s="65"/>
      <c r="Y90" s="56"/>
      <c r="Z90" s="57"/>
      <c r="AA90" s="57"/>
      <c r="AB90" s="57"/>
      <c r="AC90" s="57"/>
      <c r="AD90" s="57"/>
      <c r="AE90" s="57"/>
      <c r="AF90" s="45"/>
      <c r="AG90" s="65"/>
      <c r="AH90" s="56"/>
      <c r="AI90" s="57"/>
      <c r="AJ90" s="57"/>
      <c r="AK90" s="57"/>
      <c r="AL90" s="57"/>
      <c r="AM90" s="57"/>
      <c r="AN90" s="57"/>
      <c r="AO90" s="45"/>
      <c r="AP90" s="65"/>
      <c r="AQ90" s="56"/>
      <c r="AR90" s="57"/>
      <c r="AS90" s="57"/>
      <c r="AT90" s="57"/>
      <c r="AU90" s="57"/>
      <c r="AV90" s="57"/>
      <c r="AW90" s="57"/>
      <c r="AX90" s="45"/>
      <c r="AY90" s="65"/>
      <c r="AZ90" s="56"/>
      <c r="BA90" s="55"/>
      <c r="BB90" s="55"/>
      <c r="BC90" s="55"/>
      <c r="BD90" s="55"/>
      <c r="BE90" s="55"/>
      <c r="BF90" s="55"/>
      <c r="BG90" s="45"/>
      <c r="BH90" s="65"/>
      <c r="BI90" s="55"/>
      <c r="BJ90" s="55"/>
      <c r="BK90" s="55"/>
      <c r="BL90" s="55"/>
      <c r="BM90" s="55"/>
      <c r="BN90" s="55"/>
      <c r="BO90" s="55"/>
      <c r="BP90" s="55"/>
      <c r="BQ90" s="65"/>
      <c r="BR90" s="55"/>
      <c r="BS90" s="55"/>
      <c r="BT90" s="55"/>
      <c r="BU90" s="55"/>
      <c r="BV90" s="55"/>
      <c r="BW90" s="55"/>
      <c r="BX90" s="55"/>
      <c r="BY90" s="55"/>
      <c r="BZ90" s="65"/>
      <c r="CA90" s="55"/>
      <c r="CB90" s="55"/>
      <c r="CC90" s="55"/>
      <c r="CD90" s="55"/>
      <c r="CE90" s="55"/>
      <c r="CF90" s="55"/>
      <c r="CG90" s="55"/>
      <c r="CH90" s="55"/>
      <c r="CI90" s="55"/>
    </row>
    <row r="91" spans="1:87">
      <c r="A91" s="12" t="str">
        <f>Roster!A91</f>
        <v/>
      </c>
      <c r="B91" s="28">
        <f>Roster!C91</f>
        <v>0</v>
      </c>
      <c r="C91" s="28" t="str">
        <f>IF(COUNTIFS(Table36103[[#This Row],[Continue Existing]:[Start New]], "TRUE")=0, "YES", "NO")</f>
        <v>YES</v>
      </c>
      <c r="D91" s="28" t="b">
        <f>COUNTIFS(Table36103[[#This Row],[Screening Results: Drug &amp; Alcohol Assessment 1]:[Other Reason 9]], "Continue with existing treatment services")&gt;0</f>
        <v>0</v>
      </c>
      <c r="E91" s="28" t="b">
        <f>COUNTIFS(Table36103[[#This Row],[Screening Results: Drug &amp; Alcohol Assessment 1]:[Other Reason 9]], "Start new service")&gt;0</f>
        <v>0</v>
      </c>
      <c r="F91" s="55"/>
      <c r="G91" s="56"/>
      <c r="H91" s="57"/>
      <c r="I91" s="57"/>
      <c r="J91" s="57"/>
      <c r="K91" s="57"/>
      <c r="L91" s="57"/>
      <c r="M91" s="57"/>
      <c r="N91" s="45"/>
      <c r="O91" s="58"/>
      <c r="P91" s="56"/>
      <c r="Q91" s="57"/>
      <c r="R91" s="57"/>
      <c r="S91" s="57"/>
      <c r="T91" s="57"/>
      <c r="U91" s="57"/>
      <c r="V91" s="57"/>
      <c r="W91" s="45"/>
      <c r="X91" s="65"/>
      <c r="Y91" s="56"/>
      <c r="Z91" s="57"/>
      <c r="AA91" s="57"/>
      <c r="AB91" s="57"/>
      <c r="AC91" s="57"/>
      <c r="AD91" s="57"/>
      <c r="AE91" s="57"/>
      <c r="AF91" s="45"/>
      <c r="AG91" s="65"/>
      <c r="AH91" s="56"/>
      <c r="AI91" s="57"/>
      <c r="AJ91" s="57"/>
      <c r="AK91" s="57"/>
      <c r="AL91" s="57"/>
      <c r="AM91" s="57"/>
      <c r="AN91" s="57"/>
      <c r="AO91" s="45"/>
      <c r="AP91" s="65"/>
      <c r="AQ91" s="56"/>
      <c r="AR91" s="57"/>
      <c r="AS91" s="57"/>
      <c r="AT91" s="57"/>
      <c r="AU91" s="57"/>
      <c r="AV91" s="57"/>
      <c r="AW91" s="57"/>
      <c r="AX91" s="45"/>
      <c r="AY91" s="65"/>
      <c r="AZ91" s="56"/>
      <c r="BA91" s="55"/>
      <c r="BB91" s="55"/>
      <c r="BC91" s="55"/>
      <c r="BD91" s="55"/>
      <c r="BE91" s="55"/>
      <c r="BF91" s="55"/>
      <c r="BG91" s="45"/>
      <c r="BH91" s="65"/>
      <c r="BI91" s="55"/>
      <c r="BJ91" s="55"/>
      <c r="BK91" s="55"/>
      <c r="BL91" s="55"/>
      <c r="BM91" s="55"/>
      <c r="BN91" s="55"/>
      <c r="BO91" s="55"/>
      <c r="BP91" s="55"/>
      <c r="BQ91" s="65"/>
      <c r="BR91" s="55"/>
      <c r="BS91" s="55"/>
      <c r="BT91" s="55"/>
      <c r="BU91" s="55"/>
      <c r="BV91" s="55"/>
      <c r="BW91" s="55"/>
      <c r="BX91" s="55"/>
      <c r="BY91" s="55"/>
      <c r="BZ91" s="65"/>
      <c r="CA91" s="55"/>
      <c r="CB91" s="55"/>
      <c r="CC91" s="55"/>
      <c r="CD91" s="55"/>
      <c r="CE91" s="55"/>
      <c r="CF91" s="55"/>
      <c r="CG91" s="55"/>
      <c r="CH91" s="55"/>
      <c r="CI91" s="55"/>
    </row>
    <row r="92" spans="1:87">
      <c r="A92" s="12" t="str">
        <f>Roster!A92</f>
        <v/>
      </c>
      <c r="B92" s="28">
        <f>Roster!C92</f>
        <v>0</v>
      </c>
      <c r="C92" s="28" t="str">
        <f>IF(COUNTIFS(Table36103[[#This Row],[Continue Existing]:[Start New]], "TRUE")=0, "YES", "NO")</f>
        <v>YES</v>
      </c>
      <c r="D92" s="28" t="b">
        <f>COUNTIFS(Table36103[[#This Row],[Screening Results: Drug &amp; Alcohol Assessment 1]:[Other Reason 9]], "Continue with existing treatment services")&gt;0</f>
        <v>0</v>
      </c>
      <c r="E92" s="28" t="b">
        <f>COUNTIFS(Table36103[[#This Row],[Screening Results: Drug &amp; Alcohol Assessment 1]:[Other Reason 9]], "Start new service")&gt;0</f>
        <v>0</v>
      </c>
      <c r="F92" s="55"/>
      <c r="G92" s="56"/>
      <c r="H92" s="57"/>
      <c r="I92" s="57"/>
      <c r="J92" s="57"/>
      <c r="K92" s="57"/>
      <c r="L92" s="57"/>
      <c r="M92" s="57"/>
      <c r="N92" s="45"/>
      <c r="O92" s="58"/>
      <c r="P92" s="56"/>
      <c r="Q92" s="57"/>
      <c r="R92" s="57"/>
      <c r="S92" s="57"/>
      <c r="T92" s="57"/>
      <c r="U92" s="57"/>
      <c r="V92" s="57"/>
      <c r="W92" s="45"/>
      <c r="X92" s="65"/>
      <c r="Y92" s="56"/>
      <c r="Z92" s="57"/>
      <c r="AA92" s="57"/>
      <c r="AB92" s="57"/>
      <c r="AC92" s="57"/>
      <c r="AD92" s="57"/>
      <c r="AE92" s="57"/>
      <c r="AF92" s="45"/>
      <c r="AG92" s="65"/>
      <c r="AH92" s="56"/>
      <c r="AI92" s="57"/>
      <c r="AJ92" s="57"/>
      <c r="AK92" s="57"/>
      <c r="AL92" s="57"/>
      <c r="AM92" s="57"/>
      <c r="AN92" s="57"/>
      <c r="AO92" s="45"/>
      <c r="AP92" s="65"/>
      <c r="AQ92" s="56"/>
      <c r="AR92" s="57"/>
      <c r="AS92" s="57"/>
      <c r="AT92" s="57"/>
      <c r="AU92" s="57"/>
      <c r="AV92" s="57"/>
      <c r="AW92" s="57"/>
      <c r="AX92" s="45"/>
      <c r="AY92" s="65"/>
      <c r="AZ92" s="56"/>
      <c r="BA92" s="55"/>
      <c r="BB92" s="55"/>
      <c r="BC92" s="55"/>
      <c r="BD92" s="55"/>
      <c r="BE92" s="55"/>
      <c r="BF92" s="55"/>
      <c r="BG92" s="45"/>
      <c r="BH92" s="65"/>
      <c r="BI92" s="55"/>
      <c r="BJ92" s="55"/>
      <c r="BK92" s="55"/>
      <c r="BL92" s="55"/>
      <c r="BM92" s="55"/>
      <c r="BN92" s="55"/>
      <c r="BO92" s="55"/>
      <c r="BP92" s="55"/>
      <c r="BQ92" s="65"/>
      <c r="BR92" s="55"/>
      <c r="BS92" s="55"/>
      <c r="BT92" s="55"/>
      <c r="BU92" s="55"/>
      <c r="BV92" s="55"/>
      <c r="BW92" s="55"/>
      <c r="BX92" s="55"/>
      <c r="BY92" s="55"/>
      <c r="BZ92" s="65"/>
      <c r="CA92" s="55"/>
      <c r="CB92" s="55"/>
      <c r="CC92" s="55"/>
      <c r="CD92" s="55"/>
      <c r="CE92" s="55"/>
      <c r="CF92" s="55"/>
      <c r="CG92" s="55"/>
      <c r="CH92" s="55"/>
      <c r="CI92" s="55"/>
    </row>
    <row r="93" spans="1:87">
      <c r="A93" s="12" t="str">
        <f>Roster!A93</f>
        <v/>
      </c>
      <c r="B93" s="28">
        <f>Roster!C93</f>
        <v>0</v>
      </c>
      <c r="C93" s="28" t="str">
        <f>IF(COUNTIFS(Table36103[[#This Row],[Continue Existing]:[Start New]], "TRUE")=0, "YES", "NO")</f>
        <v>YES</v>
      </c>
      <c r="D93" s="28" t="b">
        <f>COUNTIFS(Table36103[[#This Row],[Screening Results: Drug &amp; Alcohol Assessment 1]:[Other Reason 9]], "Continue with existing treatment services")&gt;0</f>
        <v>0</v>
      </c>
      <c r="E93" s="28" t="b">
        <f>COUNTIFS(Table36103[[#This Row],[Screening Results: Drug &amp; Alcohol Assessment 1]:[Other Reason 9]], "Start new service")&gt;0</f>
        <v>0</v>
      </c>
      <c r="F93" s="55"/>
      <c r="G93" s="56"/>
      <c r="H93" s="57"/>
      <c r="I93" s="57"/>
      <c r="J93" s="57"/>
      <c r="K93" s="57"/>
      <c r="L93" s="57"/>
      <c r="M93" s="57"/>
      <c r="N93" s="45"/>
      <c r="O93" s="58"/>
      <c r="P93" s="56"/>
      <c r="Q93" s="57"/>
      <c r="R93" s="57"/>
      <c r="S93" s="57"/>
      <c r="T93" s="57"/>
      <c r="U93" s="57"/>
      <c r="V93" s="57"/>
      <c r="W93" s="45"/>
      <c r="X93" s="65"/>
      <c r="Y93" s="56"/>
      <c r="Z93" s="57"/>
      <c r="AA93" s="57"/>
      <c r="AB93" s="57"/>
      <c r="AC93" s="57"/>
      <c r="AD93" s="57"/>
      <c r="AE93" s="57"/>
      <c r="AF93" s="45"/>
      <c r="AG93" s="65"/>
      <c r="AH93" s="56"/>
      <c r="AI93" s="57"/>
      <c r="AJ93" s="57"/>
      <c r="AK93" s="57"/>
      <c r="AL93" s="57"/>
      <c r="AM93" s="57"/>
      <c r="AN93" s="57"/>
      <c r="AO93" s="45"/>
      <c r="AP93" s="65"/>
      <c r="AQ93" s="56"/>
      <c r="AR93" s="57"/>
      <c r="AS93" s="57"/>
      <c r="AT93" s="57"/>
      <c r="AU93" s="57"/>
      <c r="AV93" s="57"/>
      <c r="AW93" s="57"/>
      <c r="AX93" s="45"/>
      <c r="AY93" s="65"/>
      <c r="AZ93" s="56"/>
      <c r="BA93" s="55"/>
      <c r="BB93" s="55"/>
      <c r="BC93" s="55"/>
      <c r="BD93" s="55"/>
      <c r="BE93" s="55"/>
      <c r="BF93" s="55"/>
      <c r="BG93" s="45"/>
      <c r="BH93" s="65"/>
      <c r="BI93" s="55"/>
      <c r="BJ93" s="55"/>
      <c r="BK93" s="55"/>
      <c r="BL93" s="55"/>
      <c r="BM93" s="55"/>
      <c r="BN93" s="55"/>
      <c r="BO93" s="55"/>
      <c r="BP93" s="55"/>
      <c r="BQ93" s="65"/>
      <c r="BR93" s="55"/>
      <c r="BS93" s="55"/>
      <c r="BT93" s="55"/>
      <c r="BU93" s="55"/>
      <c r="BV93" s="55"/>
      <c r="BW93" s="55"/>
      <c r="BX93" s="55"/>
      <c r="BY93" s="55"/>
      <c r="BZ93" s="65"/>
      <c r="CA93" s="55"/>
      <c r="CB93" s="55"/>
      <c r="CC93" s="55"/>
      <c r="CD93" s="55"/>
      <c r="CE93" s="55"/>
      <c r="CF93" s="55"/>
      <c r="CG93" s="55"/>
      <c r="CH93" s="55"/>
      <c r="CI93" s="55"/>
    </row>
    <row r="94" spans="1:87">
      <c r="A94" s="12" t="str">
        <f>Roster!A94</f>
        <v/>
      </c>
      <c r="B94" s="28">
        <f>Roster!C94</f>
        <v>0</v>
      </c>
      <c r="C94" s="28" t="str">
        <f>IF(COUNTIFS(Table36103[[#This Row],[Continue Existing]:[Start New]], "TRUE")=0, "YES", "NO")</f>
        <v>YES</v>
      </c>
      <c r="D94" s="28" t="b">
        <f>COUNTIFS(Table36103[[#This Row],[Screening Results: Drug &amp; Alcohol Assessment 1]:[Other Reason 9]], "Continue with existing treatment services")&gt;0</f>
        <v>0</v>
      </c>
      <c r="E94" s="28" t="b">
        <f>COUNTIFS(Table36103[[#This Row],[Screening Results: Drug &amp; Alcohol Assessment 1]:[Other Reason 9]], "Start new service")&gt;0</f>
        <v>0</v>
      </c>
      <c r="F94" s="55"/>
      <c r="G94" s="56"/>
      <c r="H94" s="57"/>
      <c r="I94" s="57"/>
      <c r="J94" s="57"/>
      <c r="K94" s="57"/>
      <c r="L94" s="57"/>
      <c r="M94" s="57"/>
      <c r="N94" s="45"/>
      <c r="O94" s="58"/>
      <c r="P94" s="56"/>
      <c r="Q94" s="57"/>
      <c r="R94" s="57"/>
      <c r="S94" s="57"/>
      <c r="T94" s="57"/>
      <c r="U94" s="57"/>
      <c r="V94" s="57"/>
      <c r="W94" s="45"/>
      <c r="X94" s="65"/>
      <c r="Y94" s="56"/>
      <c r="Z94" s="57"/>
      <c r="AA94" s="57"/>
      <c r="AB94" s="57"/>
      <c r="AC94" s="57"/>
      <c r="AD94" s="57"/>
      <c r="AE94" s="57"/>
      <c r="AF94" s="45"/>
      <c r="AG94" s="65"/>
      <c r="AH94" s="56"/>
      <c r="AI94" s="57"/>
      <c r="AJ94" s="57"/>
      <c r="AK94" s="57"/>
      <c r="AL94" s="57"/>
      <c r="AM94" s="57"/>
      <c r="AN94" s="57"/>
      <c r="AO94" s="45"/>
      <c r="AP94" s="65"/>
      <c r="AQ94" s="56"/>
      <c r="AR94" s="57"/>
      <c r="AS94" s="57"/>
      <c r="AT94" s="57"/>
      <c r="AU94" s="57"/>
      <c r="AV94" s="57"/>
      <c r="AW94" s="57"/>
      <c r="AX94" s="45"/>
      <c r="AY94" s="65"/>
      <c r="AZ94" s="56"/>
      <c r="BA94" s="55"/>
      <c r="BB94" s="55"/>
      <c r="BC94" s="55"/>
      <c r="BD94" s="55"/>
      <c r="BE94" s="55"/>
      <c r="BF94" s="55"/>
      <c r="BG94" s="45"/>
      <c r="BH94" s="65"/>
      <c r="BI94" s="55"/>
      <c r="BJ94" s="55"/>
      <c r="BK94" s="55"/>
      <c r="BL94" s="55"/>
      <c r="BM94" s="55"/>
      <c r="BN94" s="55"/>
      <c r="BO94" s="55"/>
      <c r="BP94" s="55"/>
      <c r="BQ94" s="65"/>
      <c r="BR94" s="55"/>
      <c r="BS94" s="55"/>
      <c r="BT94" s="55"/>
      <c r="BU94" s="55"/>
      <c r="BV94" s="55"/>
      <c r="BW94" s="55"/>
      <c r="BX94" s="55"/>
      <c r="BY94" s="55"/>
      <c r="BZ94" s="65"/>
      <c r="CA94" s="55"/>
      <c r="CB94" s="55"/>
      <c r="CC94" s="55"/>
      <c r="CD94" s="55"/>
      <c r="CE94" s="55"/>
      <c r="CF94" s="55"/>
      <c r="CG94" s="55"/>
      <c r="CH94" s="55"/>
      <c r="CI94" s="55"/>
    </row>
    <row r="95" spans="1:87">
      <c r="A95" s="12" t="str">
        <f>Roster!A95</f>
        <v/>
      </c>
      <c r="B95" s="28">
        <f>Roster!C95</f>
        <v>0</v>
      </c>
      <c r="C95" s="28" t="str">
        <f>IF(COUNTIFS(Table36103[[#This Row],[Continue Existing]:[Start New]], "TRUE")=0, "YES", "NO")</f>
        <v>YES</v>
      </c>
      <c r="D95" s="28" t="b">
        <f>COUNTIFS(Table36103[[#This Row],[Screening Results: Drug &amp; Alcohol Assessment 1]:[Other Reason 9]], "Continue with existing treatment services")&gt;0</f>
        <v>0</v>
      </c>
      <c r="E95" s="28" t="b">
        <f>COUNTIFS(Table36103[[#This Row],[Screening Results: Drug &amp; Alcohol Assessment 1]:[Other Reason 9]], "Start new service")&gt;0</f>
        <v>0</v>
      </c>
      <c r="F95" s="55"/>
      <c r="G95" s="56"/>
      <c r="H95" s="57"/>
      <c r="I95" s="57"/>
      <c r="J95" s="57"/>
      <c r="K95" s="57"/>
      <c r="L95" s="57"/>
      <c r="M95" s="57"/>
      <c r="N95" s="45"/>
      <c r="O95" s="58"/>
      <c r="P95" s="56"/>
      <c r="Q95" s="57"/>
      <c r="R95" s="57"/>
      <c r="S95" s="57"/>
      <c r="T95" s="57"/>
      <c r="U95" s="57"/>
      <c r="V95" s="57"/>
      <c r="W95" s="45"/>
      <c r="X95" s="65"/>
      <c r="Y95" s="56"/>
      <c r="Z95" s="57"/>
      <c r="AA95" s="57"/>
      <c r="AB95" s="57"/>
      <c r="AC95" s="57"/>
      <c r="AD95" s="57"/>
      <c r="AE95" s="57"/>
      <c r="AF95" s="45"/>
      <c r="AG95" s="65"/>
      <c r="AH95" s="56"/>
      <c r="AI95" s="57"/>
      <c r="AJ95" s="57"/>
      <c r="AK95" s="57"/>
      <c r="AL95" s="57"/>
      <c r="AM95" s="57"/>
      <c r="AN95" s="57"/>
      <c r="AO95" s="45"/>
      <c r="AP95" s="65"/>
      <c r="AQ95" s="56"/>
      <c r="AR95" s="57"/>
      <c r="AS95" s="57"/>
      <c r="AT95" s="57"/>
      <c r="AU95" s="57"/>
      <c r="AV95" s="57"/>
      <c r="AW95" s="57"/>
      <c r="AX95" s="45"/>
      <c r="AY95" s="65"/>
      <c r="AZ95" s="56"/>
      <c r="BA95" s="55"/>
      <c r="BB95" s="55"/>
      <c r="BC95" s="55"/>
      <c r="BD95" s="55"/>
      <c r="BE95" s="55"/>
      <c r="BF95" s="55"/>
      <c r="BG95" s="45"/>
      <c r="BH95" s="65"/>
      <c r="BI95" s="55"/>
      <c r="BJ95" s="55"/>
      <c r="BK95" s="55"/>
      <c r="BL95" s="55"/>
      <c r="BM95" s="55"/>
      <c r="BN95" s="55"/>
      <c r="BO95" s="55"/>
      <c r="BP95" s="55"/>
      <c r="BQ95" s="65"/>
      <c r="BR95" s="55"/>
      <c r="BS95" s="55"/>
      <c r="BT95" s="55"/>
      <c r="BU95" s="55"/>
      <c r="BV95" s="55"/>
      <c r="BW95" s="55"/>
      <c r="BX95" s="55"/>
      <c r="BY95" s="55"/>
      <c r="BZ95" s="65"/>
      <c r="CA95" s="55"/>
      <c r="CB95" s="55"/>
      <c r="CC95" s="55"/>
      <c r="CD95" s="55"/>
      <c r="CE95" s="55"/>
      <c r="CF95" s="55"/>
      <c r="CG95" s="55"/>
      <c r="CH95" s="55"/>
      <c r="CI95" s="55"/>
    </row>
    <row r="96" spans="1:87">
      <c r="A96" s="12" t="str">
        <f>Roster!A96</f>
        <v/>
      </c>
      <c r="B96" s="28">
        <f>Roster!C96</f>
        <v>0</v>
      </c>
      <c r="C96" s="28" t="str">
        <f>IF(COUNTIFS(Table36103[[#This Row],[Continue Existing]:[Start New]], "TRUE")=0, "YES", "NO")</f>
        <v>YES</v>
      </c>
      <c r="D96" s="28" t="b">
        <f>COUNTIFS(Table36103[[#This Row],[Screening Results: Drug &amp; Alcohol Assessment 1]:[Other Reason 9]], "Continue with existing treatment services")&gt;0</f>
        <v>0</v>
      </c>
      <c r="E96" s="28" t="b">
        <f>COUNTIFS(Table36103[[#This Row],[Screening Results: Drug &amp; Alcohol Assessment 1]:[Other Reason 9]], "Start new service")&gt;0</f>
        <v>0</v>
      </c>
      <c r="F96" s="55"/>
      <c r="G96" s="56"/>
      <c r="H96" s="57"/>
      <c r="I96" s="57"/>
      <c r="J96" s="57"/>
      <c r="K96" s="57"/>
      <c r="L96" s="57"/>
      <c r="M96" s="57"/>
      <c r="N96" s="45"/>
      <c r="O96" s="58"/>
      <c r="P96" s="56"/>
      <c r="Q96" s="57"/>
      <c r="R96" s="57"/>
      <c r="S96" s="57"/>
      <c r="T96" s="57"/>
      <c r="U96" s="57"/>
      <c r="V96" s="57"/>
      <c r="W96" s="45"/>
      <c r="X96" s="65"/>
      <c r="Y96" s="56"/>
      <c r="Z96" s="57"/>
      <c r="AA96" s="57"/>
      <c r="AB96" s="57"/>
      <c r="AC96" s="57"/>
      <c r="AD96" s="57"/>
      <c r="AE96" s="57"/>
      <c r="AF96" s="45"/>
      <c r="AG96" s="65"/>
      <c r="AH96" s="56"/>
      <c r="AI96" s="57"/>
      <c r="AJ96" s="57"/>
      <c r="AK96" s="57"/>
      <c r="AL96" s="57"/>
      <c r="AM96" s="57"/>
      <c r="AN96" s="57"/>
      <c r="AO96" s="45"/>
      <c r="AP96" s="65"/>
      <c r="AQ96" s="56"/>
      <c r="AR96" s="57"/>
      <c r="AS96" s="57"/>
      <c r="AT96" s="57"/>
      <c r="AU96" s="57"/>
      <c r="AV96" s="57"/>
      <c r="AW96" s="57"/>
      <c r="AX96" s="45"/>
      <c r="AY96" s="65"/>
      <c r="AZ96" s="56"/>
      <c r="BA96" s="55"/>
      <c r="BB96" s="55"/>
      <c r="BC96" s="55"/>
      <c r="BD96" s="55"/>
      <c r="BE96" s="55"/>
      <c r="BF96" s="55"/>
      <c r="BG96" s="45"/>
      <c r="BH96" s="65"/>
      <c r="BI96" s="55"/>
      <c r="BJ96" s="55"/>
      <c r="BK96" s="55"/>
      <c r="BL96" s="55"/>
      <c r="BM96" s="55"/>
      <c r="BN96" s="55"/>
      <c r="BO96" s="55"/>
      <c r="BP96" s="55"/>
      <c r="BQ96" s="65"/>
      <c r="BR96" s="55"/>
      <c r="BS96" s="55"/>
      <c r="BT96" s="55"/>
      <c r="BU96" s="55"/>
      <c r="BV96" s="55"/>
      <c r="BW96" s="55"/>
      <c r="BX96" s="55"/>
      <c r="BY96" s="55"/>
      <c r="BZ96" s="65"/>
      <c r="CA96" s="55"/>
      <c r="CB96" s="55"/>
      <c r="CC96" s="55"/>
      <c r="CD96" s="55"/>
      <c r="CE96" s="55"/>
      <c r="CF96" s="55"/>
      <c r="CG96" s="55"/>
      <c r="CH96" s="55"/>
      <c r="CI96" s="55"/>
    </row>
    <row r="97" spans="1:87">
      <c r="A97" s="12" t="str">
        <f>Roster!A97</f>
        <v/>
      </c>
      <c r="B97" s="28">
        <f>Roster!C97</f>
        <v>0</v>
      </c>
      <c r="C97" s="28" t="str">
        <f>IF(COUNTIFS(Table36103[[#This Row],[Continue Existing]:[Start New]], "TRUE")=0, "YES", "NO")</f>
        <v>YES</v>
      </c>
      <c r="D97" s="28" t="b">
        <f>COUNTIFS(Table36103[[#This Row],[Screening Results: Drug &amp; Alcohol Assessment 1]:[Other Reason 9]], "Continue with existing treatment services")&gt;0</f>
        <v>0</v>
      </c>
      <c r="E97" s="28" t="b">
        <f>COUNTIFS(Table36103[[#This Row],[Screening Results: Drug &amp; Alcohol Assessment 1]:[Other Reason 9]], "Start new service")&gt;0</f>
        <v>0</v>
      </c>
      <c r="F97" s="55"/>
      <c r="G97" s="56"/>
      <c r="H97" s="57"/>
      <c r="I97" s="57"/>
      <c r="J97" s="57"/>
      <c r="K97" s="57"/>
      <c r="L97" s="57"/>
      <c r="M97" s="57"/>
      <c r="N97" s="45"/>
      <c r="O97" s="58"/>
      <c r="P97" s="56"/>
      <c r="Q97" s="57"/>
      <c r="R97" s="57"/>
      <c r="S97" s="57"/>
      <c r="T97" s="57"/>
      <c r="U97" s="57"/>
      <c r="V97" s="57"/>
      <c r="W97" s="45"/>
      <c r="X97" s="65"/>
      <c r="Y97" s="56"/>
      <c r="Z97" s="57"/>
      <c r="AA97" s="57"/>
      <c r="AB97" s="57"/>
      <c r="AC97" s="57"/>
      <c r="AD97" s="57"/>
      <c r="AE97" s="57"/>
      <c r="AF97" s="45"/>
      <c r="AG97" s="65"/>
      <c r="AH97" s="56"/>
      <c r="AI97" s="57"/>
      <c r="AJ97" s="57"/>
      <c r="AK97" s="57"/>
      <c r="AL97" s="57"/>
      <c r="AM97" s="57"/>
      <c r="AN97" s="57"/>
      <c r="AO97" s="45"/>
      <c r="AP97" s="65"/>
      <c r="AQ97" s="56"/>
      <c r="AR97" s="57"/>
      <c r="AS97" s="57"/>
      <c r="AT97" s="57"/>
      <c r="AU97" s="57"/>
      <c r="AV97" s="57"/>
      <c r="AW97" s="57"/>
      <c r="AX97" s="45"/>
      <c r="AY97" s="65"/>
      <c r="AZ97" s="56"/>
      <c r="BA97" s="55"/>
      <c r="BB97" s="55"/>
      <c r="BC97" s="55"/>
      <c r="BD97" s="55"/>
      <c r="BE97" s="55"/>
      <c r="BF97" s="55"/>
      <c r="BG97" s="45"/>
      <c r="BH97" s="65"/>
      <c r="BI97" s="55"/>
      <c r="BJ97" s="55"/>
      <c r="BK97" s="55"/>
      <c r="BL97" s="55"/>
      <c r="BM97" s="55"/>
      <c r="BN97" s="55"/>
      <c r="BO97" s="55"/>
      <c r="BP97" s="55"/>
      <c r="BQ97" s="65"/>
      <c r="BR97" s="55"/>
      <c r="BS97" s="55"/>
      <c r="BT97" s="55"/>
      <c r="BU97" s="55"/>
      <c r="BV97" s="55"/>
      <c r="BW97" s="55"/>
      <c r="BX97" s="55"/>
      <c r="BY97" s="55"/>
      <c r="BZ97" s="65"/>
      <c r="CA97" s="55"/>
      <c r="CB97" s="55"/>
      <c r="CC97" s="55"/>
      <c r="CD97" s="55"/>
      <c r="CE97" s="55"/>
      <c r="CF97" s="55"/>
      <c r="CG97" s="55"/>
      <c r="CH97" s="55"/>
      <c r="CI97" s="55"/>
    </row>
    <row r="98" spans="1:87">
      <c r="A98" s="12" t="str">
        <f>Roster!A98</f>
        <v/>
      </c>
      <c r="B98" s="28">
        <f>Roster!C98</f>
        <v>0</v>
      </c>
      <c r="C98" s="28" t="str">
        <f>IF(COUNTIFS(Table36103[[#This Row],[Continue Existing]:[Start New]], "TRUE")=0, "YES", "NO")</f>
        <v>YES</v>
      </c>
      <c r="D98" s="28" t="b">
        <f>COUNTIFS(Table36103[[#This Row],[Screening Results: Drug &amp; Alcohol Assessment 1]:[Other Reason 9]], "Continue with existing treatment services")&gt;0</f>
        <v>0</v>
      </c>
      <c r="E98" s="28" t="b">
        <f>COUNTIFS(Table36103[[#This Row],[Screening Results: Drug &amp; Alcohol Assessment 1]:[Other Reason 9]], "Start new service")&gt;0</f>
        <v>0</v>
      </c>
      <c r="F98" s="55"/>
      <c r="G98" s="56"/>
      <c r="H98" s="57"/>
      <c r="I98" s="57"/>
      <c r="J98" s="57"/>
      <c r="K98" s="57"/>
      <c r="L98" s="57"/>
      <c r="M98" s="57"/>
      <c r="N98" s="45"/>
      <c r="O98" s="58"/>
      <c r="P98" s="56"/>
      <c r="Q98" s="57"/>
      <c r="R98" s="57"/>
      <c r="S98" s="57"/>
      <c r="T98" s="57"/>
      <c r="U98" s="57"/>
      <c r="V98" s="57"/>
      <c r="W98" s="45"/>
      <c r="X98" s="65"/>
      <c r="Y98" s="56"/>
      <c r="Z98" s="57"/>
      <c r="AA98" s="57"/>
      <c r="AB98" s="57"/>
      <c r="AC98" s="57"/>
      <c r="AD98" s="57"/>
      <c r="AE98" s="57"/>
      <c r="AF98" s="45"/>
      <c r="AG98" s="65"/>
      <c r="AH98" s="56"/>
      <c r="AI98" s="57"/>
      <c r="AJ98" s="57"/>
      <c r="AK98" s="57"/>
      <c r="AL98" s="57"/>
      <c r="AM98" s="57"/>
      <c r="AN98" s="57"/>
      <c r="AO98" s="45"/>
      <c r="AP98" s="65"/>
      <c r="AQ98" s="56"/>
      <c r="AR98" s="57"/>
      <c r="AS98" s="57"/>
      <c r="AT98" s="57"/>
      <c r="AU98" s="57"/>
      <c r="AV98" s="57"/>
      <c r="AW98" s="57"/>
      <c r="AX98" s="45"/>
      <c r="AY98" s="65"/>
      <c r="AZ98" s="56"/>
      <c r="BA98" s="55"/>
      <c r="BB98" s="55"/>
      <c r="BC98" s="55"/>
      <c r="BD98" s="55"/>
      <c r="BE98" s="55"/>
      <c r="BF98" s="55"/>
      <c r="BG98" s="45"/>
      <c r="BH98" s="65"/>
      <c r="BI98" s="55"/>
      <c r="BJ98" s="55"/>
      <c r="BK98" s="55"/>
      <c r="BL98" s="55"/>
      <c r="BM98" s="55"/>
      <c r="BN98" s="55"/>
      <c r="BO98" s="55"/>
      <c r="BP98" s="55"/>
      <c r="BQ98" s="65"/>
      <c r="BR98" s="55"/>
      <c r="BS98" s="55"/>
      <c r="BT98" s="55"/>
      <c r="BU98" s="55"/>
      <c r="BV98" s="55"/>
      <c r="BW98" s="55"/>
      <c r="BX98" s="55"/>
      <c r="BY98" s="55"/>
      <c r="BZ98" s="65"/>
      <c r="CA98" s="55"/>
      <c r="CB98" s="55"/>
      <c r="CC98" s="55"/>
      <c r="CD98" s="55"/>
      <c r="CE98" s="55"/>
      <c r="CF98" s="55"/>
      <c r="CG98" s="55"/>
      <c r="CH98" s="55"/>
      <c r="CI98" s="55"/>
    </row>
    <row r="99" spans="1:87">
      <c r="A99" s="12" t="str">
        <f>Roster!A99</f>
        <v/>
      </c>
      <c r="B99" s="28">
        <f>Roster!C99</f>
        <v>0</v>
      </c>
      <c r="C99" s="28" t="str">
        <f>IF(COUNTIFS(Table36103[[#This Row],[Continue Existing]:[Start New]], "TRUE")=0, "YES", "NO")</f>
        <v>YES</v>
      </c>
      <c r="D99" s="28" t="b">
        <f>COUNTIFS(Table36103[[#This Row],[Screening Results: Drug &amp; Alcohol Assessment 1]:[Other Reason 9]], "Continue with existing treatment services")&gt;0</f>
        <v>0</v>
      </c>
      <c r="E99" s="28" t="b">
        <f>COUNTIFS(Table36103[[#This Row],[Screening Results: Drug &amp; Alcohol Assessment 1]:[Other Reason 9]], "Start new service")&gt;0</f>
        <v>0</v>
      </c>
      <c r="F99" s="55"/>
      <c r="G99" s="56"/>
      <c r="H99" s="57"/>
      <c r="I99" s="57"/>
      <c r="J99" s="57"/>
      <c r="K99" s="57"/>
      <c r="L99" s="57"/>
      <c r="M99" s="57"/>
      <c r="N99" s="45"/>
      <c r="O99" s="58"/>
      <c r="P99" s="56"/>
      <c r="Q99" s="57"/>
      <c r="R99" s="57"/>
      <c r="S99" s="57"/>
      <c r="T99" s="57"/>
      <c r="U99" s="57"/>
      <c r="V99" s="57"/>
      <c r="W99" s="45"/>
      <c r="X99" s="65"/>
      <c r="Y99" s="56"/>
      <c r="Z99" s="57"/>
      <c r="AA99" s="57"/>
      <c r="AB99" s="57"/>
      <c r="AC99" s="57"/>
      <c r="AD99" s="57"/>
      <c r="AE99" s="57"/>
      <c r="AF99" s="45"/>
      <c r="AG99" s="65"/>
      <c r="AH99" s="56"/>
      <c r="AI99" s="57"/>
      <c r="AJ99" s="57"/>
      <c r="AK99" s="57"/>
      <c r="AL99" s="57"/>
      <c r="AM99" s="57"/>
      <c r="AN99" s="57"/>
      <c r="AO99" s="45"/>
      <c r="AP99" s="65"/>
      <c r="AQ99" s="56"/>
      <c r="AR99" s="57"/>
      <c r="AS99" s="57"/>
      <c r="AT99" s="57"/>
      <c r="AU99" s="57"/>
      <c r="AV99" s="57"/>
      <c r="AW99" s="57"/>
      <c r="AX99" s="45"/>
      <c r="AY99" s="65"/>
      <c r="AZ99" s="56"/>
      <c r="BA99" s="55"/>
      <c r="BB99" s="55"/>
      <c r="BC99" s="55"/>
      <c r="BD99" s="55"/>
      <c r="BE99" s="55"/>
      <c r="BF99" s="55"/>
      <c r="BG99" s="45"/>
      <c r="BH99" s="65"/>
      <c r="BI99" s="55"/>
      <c r="BJ99" s="55"/>
      <c r="BK99" s="55"/>
      <c r="BL99" s="55"/>
      <c r="BM99" s="55"/>
      <c r="BN99" s="55"/>
      <c r="BO99" s="55"/>
      <c r="BP99" s="55"/>
      <c r="BQ99" s="65"/>
      <c r="BR99" s="55"/>
      <c r="BS99" s="55"/>
      <c r="BT99" s="55"/>
      <c r="BU99" s="55"/>
      <c r="BV99" s="55"/>
      <c r="BW99" s="55"/>
      <c r="BX99" s="55"/>
      <c r="BY99" s="55"/>
      <c r="BZ99" s="65"/>
      <c r="CA99" s="55"/>
      <c r="CB99" s="55"/>
      <c r="CC99" s="55"/>
      <c r="CD99" s="55"/>
      <c r="CE99" s="55"/>
      <c r="CF99" s="55"/>
      <c r="CG99" s="55"/>
      <c r="CH99" s="55"/>
      <c r="CI99" s="55"/>
    </row>
    <row r="100" spans="1:87">
      <c r="A100" s="12" t="str">
        <f>Roster!A100</f>
        <v/>
      </c>
      <c r="B100" s="28">
        <f>Roster!C100</f>
        <v>0</v>
      </c>
      <c r="C100" s="28" t="str">
        <f>IF(COUNTIFS(Table36103[[#This Row],[Continue Existing]:[Start New]], "TRUE")=0, "YES", "NO")</f>
        <v>YES</v>
      </c>
      <c r="D100" s="28" t="b">
        <f>COUNTIFS(Table36103[[#This Row],[Screening Results: Drug &amp; Alcohol Assessment 1]:[Other Reason 9]], "Continue with existing treatment services")&gt;0</f>
        <v>0</v>
      </c>
      <c r="E100" s="28" t="b">
        <f>COUNTIFS(Table36103[[#This Row],[Screening Results: Drug &amp; Alcohol Assessment 1]:[Other Reason 9]], "Start new service")&gt;0</f>
        <v>0</v>
      </c>
      <c r="F100" s="55"/>
      <c r="G100" s="56"/>
      <c r="H100" s="57"/>
      <c r="I100" s="57"/>
      <c r="J100" s="57"/>
      <c r="K100" s="57"/>
      <c r="L100" s="57"/>
      <c r="M100" s="57"/>
      <c r="N100" s="45"/>
      <c r="O100" s="58"/>
      <c r="P100" s="56"/>
      <c r="Q100" s="57"/>
      <c r="R100" s="57"/>
      <c r="S100" s="57"/>
      <c r="T100" s="57"/>
      <c r="U100" s="57"/>
      <c r="V100" s="57"/>
      <c r="W100" s="45"/>
      <c r="X100" s="65"/>
      <c r="Y100" s="56"/>
      <c r="Z100" s="57"/>
      <c r="AA100" s="57"/>
      <c r="AB100" s="57"/>
      <c r="AC100" s="57"/>
      <c r="AD100" s="57"/>
      <c r="AE100" s="57"/>
      <c r="AF100" s="45"/>
      <c r="AG100" s="65"/>
      <c r="AH100" s="56"/>
      <c r="AI100" s="57"/>
      <c r="AJ100" s="57"/>
      <c r="AK100" s="57"/>
      <c r="AL100" s="57"/>
      <c r="AM100" s="57"/>
      <c r="AN100" s="57"/>
      <c r="AO100" s="45"/>
      <c r="AP100" s="65"/>
      <c r="AQ100" s="56"/>
      <c r="AR100" s="57"/>
      <c r="AS100" s="57"/>
      <c r="AT100" s="57"/>
      <c r="AU100" s="57"/>
      <c r="AV100" s="57"/>
      <c r="AW100" s="57"/>
      <c r="AX100" s="45"/>
      <c r="AY100" s="65"/>
      <c r="AZ100" s="56"/>
      <c r="BA100" s="55"/>
      <c r="BB100" s="55"/>
      <c r="BC100" s="55"/>
      <c r="BD100" s="55"/>
      <c r="BE100" s="55"/>
      <c r="BF100" s="55"/>
      <c r="BG100" s="45"/>
      <c r="BH100" s="65"/>
      <c r="BI100" s="55"/>
      <c r="BJ100" s="55"/>
      <c r="BK100" s="55"/>
      <c r="BL100" s="55"/>
      <c r="BM100" s="55"/>
      <c r="BN100" s="55"/>
      <c r="BO100" s="55"/>
      <c r="BP100" s="55"/>
      <c r="BQ100" s="65"/>
      <c r="BR100" s="55"/>
      <c r="BS100" s="55"/>
      <c r="BT100" s="55"/>
      <c r="BU100" s="55"/>
      <c r="BV100" s="55"/>
      <c r="BW100" s="55"/>
      <c r="BX100" s="55"/>
      <c r="BY100" s="55"/>
      <c r="BZ100" s="65"/>
      <c r="CA100" s="55"/>
      <c r="CB100" s="55"/>
      <c r="CC100" s="55"/>
      <c r="CD100" s="55"/>
      <c r="CE100" s="55"/>
      <c r="CF100" s="55"/>
      <c r="CG100" s="55"/>
      <c r="CH100" s="55"/>
      <c r="CI100" s="55"/>
    </row>
    <row r="101" spans="1:87">
      <c r="A101" s="12" t="str">
        <f>Roster!A101</f>
        <v/>
      </c>
      <c r="B101" s="28">
        <f>Roster!C101</f>
        <v>0</v>
      </c>
      <c r="C101" s="28" t="str">
        <f>IF(COUNTIFS(Table36103[[#This Row],[Continue Existing]:[Start New]], "TRUE")=0, "YES", "NO")</f>
        <v>YES</v>
      </c>
      <c r="D101" s="28" t="b">
        <f>COUNTIFS(Table36103[[#This Row],[Screening Results: Drug &amp; Alcohol Assessment 1]:[Other Reason 9]], "Continue with existing treatment services")&gt;0</f>
        <v>0</v>
      </c>
      <c r="E101" s="28" t="b">
        <f>COUNTIFS(Table36103[[#This Row],[Screening Results: Drug &amp; Alcohol Assessment 1]:[Other Reason 9]], "Start new service")&gt;0</f>
        <v>0</v>
      </c>
      <c r="F101" s="55"/>
      <c r="G101" s="56"/>
      <c r="H101" s="57"/>
      <c r="I101" s="57"/>
      <c r="J101" s="57"/>
      <c r="K101" s="57"/>
      <c r="L101" s="57"/>
      <c r="M101" s="57"/>
      <c r="N101" s="45"/>
      <c r="O101" s="58"/>
      <c r="P101" s="56"/>
      <c r="Q101" s="57"/>
      <c r="R101" s="57"/>
      <c r="S101" s="57"/>
      <c r="T101" s="57"/>
      <c r="U101" s="57"/>
      <c r="V101" s="57"/>
      <c r="W101" s="45"/>
      <c r="X101" s="65"/>
      <c r="Y101" s="56"/>
      <c r="Z101" s="57"/>
      <c r="AA101" s="57"/>
      <c r="AB101" s="57"/>
      <c r="AC101" s="57"/>
      <c r="AD101" s="57"/>
      <c r="AE101" s="57"/>
      <c r="AF101" s="45"/>
      <c r="AG101" s="65"/>
      <c r="AH101" s="56"/>
      <c r="AI101" s="57"/>
      <c r="AJ101" s="57"/>
      <c r="AK101" s="57"/>
      <c r="AL101" s="57"/>
      <c r="AM101" s="57"/>
      <c r="AN101" s="57"/>
      <c r="AO101" s="45"/>
      <c r="AP101" s="65"/>
      <c r="AQ101" s="56"/>
      <c r="AR101" s="57"/>
      <c r="AS101" s="57"/>
      <c r="AT101" s="57"/>
      <c r="AU101" s="57"/>
      <c r="AV101" s="57"/>
      <c r="AW101" s="57"/>
      <c r="AX101" s="45"/>
      <c r="AY101" s="65"/>
      <c r="AZ101" s="56"/>
      <c r="BA101" s="55"/>
      <c r="BB101" s="55"/>
      <c r="BC101" s="55"/>
      <c r="BD101" s="55"/>
      <c r="BE101" s="55"/>
      <c r="BF101" s="55"/>
      <c r="BG101" s="45"/>
      <c r="BH101" s="65"/>
      <c r="BI101" s="55"/>
      <c r="BJ101" s="55"/>
      <c r="BK101" s="55"/>
      <c r="BL101" s="55"/>
      <c r="BM101" s="55"/>
      <c r="BN101" s="55"/>
      <c r="BO101" s="55"/>
      <c r="BP101" s="55"/>
      <c r="BQ101" s="65"/>
      <c r="BR101" s="55"/>
      <c r="BS101" s="55"/>
      <c r="BT101" s="55"/>
      <c r="BU101" s="55"/>
      <c r="BV101" s="55"/>
      <c r="BW101" s="55"/>
      <c r="BX101" s="55"/>
      <c r="BY101" s="55"/>
      <c r="BZ101" s="65"/>
      <c r="CA101" s="55"/>
      <c r="CB101" s="55"/>
      <c r="CC101" s="55"/>
      <c r="CD101" s="55"/>
      <c r="CE101" s="55"/>
      <c r="CF101" s="55"/>
      <c r="CG101" s="55"/>
      <c r="CH101" s="55"/>
      <c r="CI101" s="55"/>
    </row>
    <row r="102" spans="1:87">
      <c r="A102" s="11" t="str">
        <f>Roster!A102</f>
        <v/>
      </c>
      <c r="B102" s="38">
        <f>Roster!C102</f>
        <v>0</v>
      </c>
      <c r="C102" s="28" t="str">
        <f>IF(COUNTIFS(Table36103[[#This Row],[Continue Existing]:[Start New]], "TRUE")=0, "YES", "NO")</f>
        <v>YES</v>
      </c>
      <c r="D102" s="28" t="b">
        <f>COUNTIFS(Table36103[[#This Row],[Screening Results: Drug &amp; Alcohol Assessment 1]:[Other Reason 9]], "Continue with existing treatment services")&gt;0</f>
        <v>0</v>
      </c>
      <c r="E102" s="28" t="b">
        <f>COUNTIFS(Table36103[[#This Row],[Screening Results: Drug &amp; Alcohol Assessment 1]:[Other Reason 9]], "Start new service")&gt;0</f>
        <v>0</v>
      </c>
      <c r="F102" s="67"/>
      <c r="G102" s="68"/>
      <c r="H102" s="40"/>
      <c r="I102" s="40"/>
      <c r="J102" s="40"/>
      <c r="K102" s="40"/>
      <c r="L102" s="40"/>
      <c r="M102" s="40"/>
      <c r="N102" s="47"/>
      <c r="O102" s="69"/>
      <c r="P102" s="68"/>
      <c r="Q102" s="40"/>
      <c r="R102" s="40"/>
      <c r="S102" s="40"/>
      <c r="T102" s="40"/>
      <c r="U102" s="40"/>
      <c r="V102" s="40"/>
      <c r="W102" s="47"/>
      <c r="X102" s="70"/>
      <c r="Y102" s="68"/>
      <c r="Z102" s="40"/>
      <c r="AA102" s="40"/>
      <c r="AB102" s="40"/>
      <c r="AC102" s="40"/>
      <c r="AD102" s="40"/>
      <c r="AE102" s="40"/>
      <c r="AF102" s="47"/>
      <c r="AG102" s="70"/>
      <c r="AH102" s="68"/>
      <c r="AI102" s="40"/>
      <c r="AJ102" s="40"/>
      <c r="AK102" s="40"/>
      <c r="AL102" s="40"/>
      <c r="AM102" s="40"/>
      <c r="AN102" s="40"/>
      <c r="AO102" s="47"/>
      <c r="AP102" s="70"/>
      <c r="AQ102" s="68"/>
      <c r="AR102" s="40"/>
      <c r="AS102" s="40"/>
      <c r="AT102" s="40"/>
      <c r="AU102" s="40"/>
      <c r="AV102" s="40"/>
      <c r="AW102" s="40"/>
      <c r="AX102" s="47"/>
      <c r="AY102" s="70"/>
      <c r="AZ102" s="68"/>
      <c r="BA102" s="67"/>
      <c r="BB102" s="67"/>
      <c r="BC102" s="67"/>
      <c r="BD102" s="67"/>
      <c r="BE102" s="67"/>
      <c r="BF102" s="67"/>
      <c r="BG102" s="47"/>
      <c r="BH102" s="70"/>
      <c r="BI102" s="67"/>
      <c r="BJ102" s="67"/>
      <c r="BK102" s="67"/>
      <c r="BL102" s="67"/>
      <c r="BM102" s="67"/>
      <c r="BN102" s="67"/>
      <c r="BO102" s="67"/>
      <c r="BP102" s="67"/>
      <c r="BQ102" s="70"/>
      <c r="BR102" s="67"/>
      <c r="BS102" s="67"/>
      <c r="BT102" s="67"/>
      <c r="BU102" s="67"/>
      <c r="BV102" s="67"/>
      <c r="BW102" s="67"/>
      <c r="BX102" s="67"/>
      <c r="BY102" s="67"/>
      <c r="BZ102" s="70"/>
      <c r="CA102" s="67"/>
      <c r="CB102" s="67"/>
      <c r="CC102" s="67"/>
      <c r="CD102" s="67"/>
      <c r="CE102" s="67"/>
      <c r="CF102" s="67"/>
      <c r="CG102" s="67"/>
      <c r="CH102" s="67"/>
      <c r="CI102" s="67"/>
    </row>
    <row r="103" spans="1:87">
      <c r="A103" s="12" t="str">
        <f>Roster!A103</f>
        <v/>
      </c>
      <c r="B103" s="28">
        <f>Roster!C103</f>
        <v>0</v>
      </c>
      <c r="C103" s="28" t="str">
        <f>IF(COUNTIFS(Table36103[[#This Row],[Continue Existing]:[Start New]], "TRUE")=0, "YES", "NO")</f>
        <v>YES</v>
      </c>
      <c r="D103" s="28" t="b">
        <f>COUNTIFS(Table36103[[#This Row],[Screening Results: Drug &amp; Alcohol Assessment 1]:[Other Reason 9]], "Continue with existing treatment services")&gt;0</f>
        <v>0</v>
      </c>
      <c r="E103" s="28" t="b">
        <f>COUNTIFS(Table36103[[#This Row],[Screening Results: Drug &amp; Alcohol Assessment 1]:[Other Reason 9]], "Start new service")&gt;0</f>
        <v>0</v>
      </c>
      <c r="F103" s="55"/>
      <c r="G103" s="56"/>
      <c r="H103" s="57"/>
      <c r="I103" s="57"/>
      <c r="J103" s="57"/>
      <c r="K103" s="57"/>
      <c r="L103" s="57"/>
      <c r="M103" s="57"/>
      <c r="N103" s="45"/>
      <c r="O103" s="58"/>
      <c r="P103" s="56"/>
      <c r="Q103" s="57"/>
      <c r="R103" s="57"/>
      <c r="S103" s="57"/>
      <c r="T103" s="57"/>
      <c r="U103" s="57"/>
      <c r="V103" s="57"/>
      <c r="W103" s="45"/>
      <c r="X103" s="65"/>
      <c r="Y103" s="56"/>
      <c r="Z103" s="57"/>
      <c r="AA103" s="57"/>
      <c r="AB103" s="57"/>
      <c r="AC103" s="57"/>
      <c r="AD103" s="57"/>
      <c r="AE103" s="57"/>
      <c r="AF103" s="45"/>
      <c r="AG103" s="65"/>
      <c r="AH103" s="56"/>
      <c r="AI103" s="57"/>
      <c r="AJ103" s="57"/>
      <c r="AK103" s="57"/>
      <c r="AL103" s="57"/>
      <c r="AM103" s="57"/>
      <c r="AN103" s="57"/>
      <c r="AO103" s="45"/>
      <c r="AP103" s="65"/>
      <c r="AQ103" s="56"/>
      <c r="AR103" s="57"/>
      <c r="AS103" s="57"/>
      <c r="AT103" s="57"/>
      <c r="AU103" s="57"/>
      <c r="AV103" s="57"/>
      <c r="AW103" s="57"/>
      <c r="AX103" s="45"/>
      <c r="AY103" s="65"/>
      <c r="AZ103" s="56"/>
      <c r="BA103" s="55"/>
      <c r="BB103" s="55"/>
      <c r="BC103" s="55"/>
      <c r="BD103" s="55"/>
      <c r="BE103" s="55"/>
      <c r="BF103" s="55"/>
      <c r="BG103" s="45"/>
      <c r="BH103" s="65"/>
      <c r="BI103" s="55"/>
      <c r="BJ103" s="55"/>
      <c r="BK103" s="55"/>
      <c r="BL103" s="55"/>
      <c r="BM103" s="55"/>
      <c r="BN103" s="55"/>
      <c r="BO103" s="55"/>
      <c r="BP103" s="55"/>
      <c r="BQ103" s="65"/>
      <c r="BR103" s="55"/>
      <c r="BS103" s="55"/>
      <c r="BT103" s="55"/>
      <c r="BU103" s="55"/>
      <c r="BV103" s="55"/>
      <c r="BW103" s="55"/>
      <c r="BX103" s="55"/>
      <c r="BY103" s="55"/>
      <c r="BZ103" s="65"/>
      <c r="CA103" s="55"/>
      <c r="CB103" s="55"/>
      <c r="CC103" s="55"/>
      <c r="CD103" s="55"/>
      <c r="CE103" s="55"/>
      <c r="CF103" s="55"/>
      <c r="CG103" s="55"/>
      <c r="CH103" s="55"/>
      <c r="CI103" s="55"/>
    </row>
    <row r="104" spans="1:87">
      <c r="A104" s="12" t="str">
        <f>Roster!A104</f>
        <v/>
      </c>
      <c r="B104" s="28">
        <f>Roster!C104</f>
        <v>0</v>
      </c>
      <c r="C104" s="28" t="str">
        <f>IF(COUNTIFS(Table36103[[#This Row],[Continue Existing]:[Start New]], "TRUE")=0, "YES", "NO")</f>
        <v>YES</v>
      </c>
      <c r="D104" s="28" t="b">
        <f>COUNTIFS(Table36103[[#This Row],[Screening Results: Drug &amp; Alcohol Assessment 1]:[Other Reason 9]], "Continue with existing treatment services")&gt;0</f>
        <v>0</v>
      </c>
      <c r="E104" s="28" t="b">
        <f>COUNTIFS(Table36103[[#This Row],[Screening Results: Drug &amp; Alcohol Assessment 1]:[Other Reason 9]], "Start new service")&gt;0</f>
        <v>0</v>
      </c>
      <c r="F104" s="55"/>
      <c r="G104" s="56"/>
      <c r="H104" s="57"/>
      <c r="I104" s="57"/>
      <c r="J104" s="57"/>
      <c r="K104" s="57"/>
      <c r="L104" s="57"/>
      <c r="M104" s="57"/>
      <c r="N104" s="45"/>
      <c r="O104" s="58"/>
      <c r="P104" s="56"/>
      <c r="Q104" s="57"/>
      <c r="R104" s="57"/>
      <c r="S104" s="57"/>
      <c r="T104" s="57"/>
      <c r="U104" s="57"/>
      <c r="V104" s="57"/>
      <c r="W104" s="45"/>
      <c r="X104" s="65"/>
      <c r="Y104" s="56"/>
      <c r="Z104" s="57"/>
      <c r="AA104" s="57"/>
      <c r="AB104" s="57"/>
      <c r="AC104" s="57"/>
      <c r="AD104" s="57"/>
      <c r="AE104" s="57"/>
      <c r="AF104" s="45"/>
      <c r="AG104" s="65"/>
      <c r="AH104" s="56"/>
      <c r="AI104" s="57"/>
      <c r="AJ104" s="57"/>
      <c r="AK104" s="57"/>
      <c r="AL104" s="57"/>
      <c r="AM104" s="57"/>
      <c r="AN104" s="57"/>
      <c r="AO104" s="45"/>
      <c r="AP104" s="65"/>
      <c r="AQ104" s="56"/>
      <c r="AR104" s="57"/>
      <c r="AS104" s="57"/>
      <c r="AT104" s="57"/>
      <c r="AU104" s="57"/>
      <c r="AV104" s="57"/>
      <c r="AW104" s="57"/>
      <c r="AX104" s="45"/>
      <c r="AY104" s="65"/>
      <c r="AZ104" s="56"/>
      <c r="BA104" s="55"/>
      <c r="BB104" s="55"/>
      <c r="BC104" s="55"/>
      <c r="BD104" s="55"/>
      <c r="BE104" s="55"/>
      <c r="BF104" s="55"/>
      <c r="BG104" s="45"/>
      <c r="BH104" s="65"/>
      <c r="BI104" s="55"/>
      <c r="BJ104" s="55"/>
      <c r="BK104" s="55"/>
      <c r="BL104" s="55"/>
      <c r="BM104" s="55"/>
      <c r="BN104" s="55"/>
      <c r="BO104" s="55"/>
      <c r="BP104" s="55"/>
      <c r="BQ104" s="65"/>
      <c r="BR104" s="55"/>
      <c r="BS104" s="55"/>
      <c r="BT104" s="55"/>
      <c r="BU104" s="55"/>
      <c r="BV104" s="55"/>
      <c r="BW104" s="55"/>
      <c r="BX104" s="55"/>
      <c r="BY104" s="55"/>
      <c r="BZ104" s="65"/>
      <c r="CA104" s="55"/>
      <c r="CB104" s="55"/>
      <c r="CC104" s="55"/>
      <c r="CD104" s="55"/>
      <c r="CE104" s="55"/>
      <c r="CF104" s="55"/>
      <c r="CG104" s="55"/>
      <c r="CH104" s="55"/>
      <c r="CI104" s="55"/>
    </row>
    <row r="105" spans="1:87">
      <c r="A105" s="12" t="str">
        <f>Roster!A105</f>
        <v/>
      </c>
      <c r="B105" s="28">
        <f>Roster!C105</f>
        <v>0</v>
      </c>
      <c r="C105" s="28" t="str">
        <f>IF(COUNTIFS(Table36103[[#This Row],[Continue Existing]:[Start New]], "TRUE")=0, "YES", "NO")</f>
        <v>YES</v>
      </c>
      <c r="D105" s="28" t="b">
        <f>COUNTIFS(Table36103[[#This Row],[Screening Results: Drug &amp; Alcohol Assessment 1]:[Other Reason 9]], "Continue with existing treatment services")&gt;0</f>
        <v>0</v>
      </c>
      <c r="E105" s="28" t="b">
        <f>COUNTIFS(Table36103[[#This Row],[Screening Results: Drug &amp; Alcohol Assessment 1]:[Other Reason 9]], "Start new service")&gt;0</f>
        <v>0</v>
      </c>
      <c r="F105" s="55"/>
      <c r="G105" s="56"/>
      <c r="H105" s="57"/>
      <c r="I105" s="57"/>
      <c r="J105" s="57"/>
      <c r="K105" s="57"/>
      <c r="L105" s="57"/>
      <c r="M105" s="57"/>
      <c r="N105" s="45"/>
      <c r="O105" s="58"/>
      <c r="P105" s="56"/>
      <c r="Q105" s="57"/>
      <c r="R105" s="57"/>
      <c r="S105" s="57"/>
      <c r="T105" s="57"/>
      <c r="U105" s="57"/>
      <c r="V105" s="57"/>
      <c r="W105" s="45"/>
      <c r="X105" s="65"/>
      <c r="Y105" s="56"/>
      <c r="Z105" s="57"/>
      <c r="AA105" s="57"/>
      <c r="AB105" s="57"/>
      <c r="AC105" s="57"/>
      <c r="AD105" s="57"/>
      <c r="AE105" s="57"/>
      <c r="AF105" s="45"/>
      <c r="AG105" s="65"/>
      <c r="AH105" s="56"/>
      <c r="AI105" s="57"/>
      <c r="AJ105" s="57"/>
      <c r="AK105" s="57"/>
      <c r="AL105" s="57"/>
      <c r="AM105" s="57"/>
      <c r="AN105" s="57"/>
      <c r="AO105" s="45"/>
      <c r="AP105" s="65"/>
      <c r="AQ105" s="56"/>
      <c r="AR105" s="57"/>
      <c r="AS105" s="57"/>
      <c r="AT105" s="57"/>
      <c r="AU105" s="57"/>
      <c r="AV105" s="57"/>
      <c r="AW105" s="57"/>
      <c r="AX105" s="45"/>
      <c r="AY105" s="65"/>
      <c r="AZ105" s="56"/>
      <c r="BA105" s="55"/>
      <c r="BB105" s="55"/>
      <c r="BC105" s="55"/>
      <c r="BD105" s="55"/>
      <c r="BE105" s="55"/>
      <c r="BF105" s="55"/>
      <c r="BG105" s="45"/>
      <c r="BH105" s="65"/>
      <c r="BI105" s="55"/>
      <c r="BJ105" s="55"/>
      <c r="BK105" s="55"/>
      <c r="BL105" s="55"/>
      <c r="BM105" s="55"/>
      <c r="BN105" s="55"/>
      <c r="BO105" s="55"/>
      <c r="BP105" s="55"/>
      <c r="BQ105" s="65"/>
      <c r="BR105" s="55"/>
      <c r="BS105" s="55"/>
      <c r="BT105" s="55"/>
      <c r="BU105" s="55"/>
      <c r="BV105" s="55"/>
      <c r="BW105" s="55"/>
      <c r="BX105" s="55"/>
      <c r="BY105" s="55"/>
      <c r="BZ105" s="65"/>
      <c r="CA105" s="55"/>
      <c r="CB105" s="55"/>
      <c r="CC105" s="55"/>
      <c r="CD105" s="55"/>
      <c r="CE105" s="55"/>
      <c r="CF105" s="55"/>
      <c r="CG105" s="55"/>
      <c r="CH105" s="55"/>
      <c r="CI105" s="55"/>
    </row>
    <row r="106" spans="1:87">
      <c r="A106" s="12" t="str">
        <f>Roster!A106</f>
        <v/>
      </c>
      <c r="B106" s="28">
        <f>Roster!C106</f>
        <v>0</v>
      </c>
      <c r="C106" s="28" t="str">
        <f>IF(COUNTIFS(Table36103[[#This Row],[Continue Existing]:[Start New]], "TRUE")=0, "YES", "NO")</f>
        <v>YES</v>
      </c>
      <c r="D106" s="28" t="b">
        <f>COUNTIFS(Table36103[[#This Row],[Screening Results: Drug &amp; Alcohol Assessment 1]:[Other Reason 9]], "Continue with existing treatment services")&gt;0</f>
        <v>0</v>
      </c>
      <c r="E106" s="28" t="b">
        <f>COUNTIFS(Table36103[[#This Row],[Screening Results: Drug &amp; Alcohol Assessment 1]:[Other Reason 9]], "Start new service")&gt;0</f>
        <v>0</v>
      </c>
      <c r="F106" s="55"/>
      <c r="G106" s="56"/>
      <c r="H106" s="57"/>
      <c r="I106" s="57"/>
      <c r="J106" s="57"/>
      <c r="K106" s="57"/>
      <c r="L106" s="57"/>
      <c r="M106" s="57"/>
      <c r="N106" s="45"/>
      <c r="O106" s="58"/>
      <c r="P106" s="56"/>
      <c r="Q106" s="57"/>
      <c r="R106" s="57"/>
      <c r="S106" s="57"/>
      <c r="T106" s="57"/>
      <c r="U106" s="57"/>
      <c r="V106" s="57"/>
      <c r="W106" s="45"/>
      <c r="X106" s="65"/>
      <c r="Y106" s="56"/>
      <c r="Z106" s="57"/>
      <c r="AA106" s="57"/>
      <c r="AB106" s="57"/>
      <c r="AC106" s="57"/>
      <c r="AD106" s="57"/>
      <c r="AE106" s="57"/>
      <c r="AF106" s="45"/>
      <c r="AG106" s="65"/>
      <c r="AH106" s="56"/>
      <c r="AI106" s="57"/>
      <c r="AJ106" s="57"/>
      <c r="AK106" s="57"/>
      <c r="AL106" s="57"/>
      <c r="AM106" s="57"/>
      <c r="AN106" s="57"/>
      <c r="AO106" s="45"/>
      <c r="AP106" s="65"/>
      <c r="AQ106" s="56"/>
      <c r="AR106" s="57"/>
      <c r="AS106" s="57"/>
      <c r="AT106" s="57"/>
      <c r="AU106" s="57"/>
      <c r="AV106" s="57"/>
      <c r="AW106" s="57"/>
      <c r="AX106" s="45"/>
      <c r="AY106" s="65"/>
      <c r="AZ106" s="56"/>
      <c r="BA106" s="55"/>
      <c r="BB106" s="55"/>
      <c r="BC106" s="55"/>
      <c r="BD106" s="55"/>
      <c r="BE106" s="55"/>
      <c r="BF106" s="55"/>
      <c r="BG106" s="45"/>
      <c r="BH106" s="65"/>
      <c r="BI106" s="55"/>
      <c r="BJ106" s="55"/>
      <c r="BK106" s="55"/>
      <c r="BL106" s="55"/>
      <c r="BM106" s="55"/>
      <c r="BN106" s="55"/>
      <c r="BO106" s="55"/>
      <c r="BP106" s="55"/>
      <c r="BQ106" s="65"/>
      <c r="BR106" s="55"/>
      <c r="BS106" s="55"/>
      <c r="BT106" s="55"/>
      <c r="BU106" s="55"/>
      <c r="BV106" s="55"/>
      <c r="BW106" s="55"/>
      <c r="BX106" s="55"/>
      <c r="BY106" s="55"/>
      <c r="BZ106" s="65"/>
      <c r="CA106" s="55"/>
      <c r="CB106" s="55"/>
      <c r="CC106" s="55"/>
      <c r="CD106" s="55"/>
      <c r="CE106" s="55"/>
      <c r="CF106" s="55"/>
      <c r="CG106" s="55"/>
      <c r="CH106" s="55"/>
      <c r="CI106" s="55"/>
    </row>
    <row r="107" spans="1:87">
      <c r="A107" s="12" t="str">
        <f>Roster!A107</f>
        <v/>
      </c>
      <c r="B107" s="28">
        <f>Roster!C107</f>
        <v>0</v>
      </c>
      <c r="C107" s="28" t="str">
        <f>IF(COUNTIFS(Table36103[[#This Row],[Continue Existing]:[Start New]], "TRUE")=0, "YES", "NO")</f>
        <v>YES</v>
      </c>
      <c r="D107" s="28" t="b">
        <f>COUNTIFS(Table36103[[#This Row],[Screening Results: Drug &amp; Alcohol Assessment 1]:[Other Reason 9]], "Continue with existing treatment services")&gt;0</f>
        <v>0</v>
      </c>
      <c r="E107" s="28" t="b">
        <f>COUNTIFS(Table36103[[#This Row],[Screening Results: Drug &amp; Alcohol Assessment 1]:[Other Reason 9]], "Start new service")&gt;0</f>
        <v>0</v>
      </c>
      <c r="F107" s="55"/>
      <c r="G107" s="56"/>
      <c r="H107" s="57"/>
      <c r="I107" s="57"/>
      <c r="J107" s="57"/>
      <c r="K107" s="57"/>
      <c r="L107" s="57"/>
      <c r="M107" s="57"/>
      <c r="N107" s="45"/>
      <c r="O107" s="58"/>
      <c r="P107" s="56"/>
      <c r="Q107" s="57"/>
      <c r="R107" s="57"/>
      <c r="S107" s="57"/>
      <c r="T107" s="57"/>
      <c r="U107" s="57"/>
      <c r="V107" s="57"/>
      <c r="W107" s="45"/>
      <c r="X107" s="65"/>
      <c r="Y107" s="56"/>
      <c r="Z107" s="57"/>
      <c r="AA107" s="57"/>
      <c r="AB107" s="57"/>
      <c r="AC107" s="57"/>
      <c r="AD107" s="57"/>
      <c r="AE107" s="57"/>
      <c r="AF107" s="45"/>
      <c r="AG107" s="65"/>
      <c r="AH107" s="56"/>
      <c r="AI107" s="57"/>
      <c r="AJ107" s="57"/>
      <c r="AK107" s="57"/>
      <c r="AL107" s="57"/>
      <c r="AM107" s="57"/>
      <c r="AN107" s="57"/>
      <c r="AO107" s="45"/>
      <c r="AP107" s="65"/>
      <c r="AQ107" s="56"/>
      <c r="AR107" s="57"/>
      <c r="AS107" s="57"/>
      <c r="AT107" s="57"/>
      <c r="AU107" s="57"/>
      <c r="AV107" s="57"/>
      <c r="AW107" s="57"/>
      <c r="AX107" s="45"/>
      <c r="AY107" s="65"/>
      <c r="AZ107" s="56"/>
      <c r="BA107" s="55"/>
      <c r="BB107" s="55"/>
      <c r="BC107" s="55"/>
      <c r="BD107" s="55"/>
      <c r="BE107" s="55"/>
      <c r="BF107" s="55"/>
      <c r="BG107" s="45"/>
      <c r="BH107" s="65"/>
      <c r="BI107" s="55"/>
      <c r="BJ107" s="55"/>
      <c r="BK107" s="55"/>
      <c r="BL107" s="55"/>
      <c r="BM107" s="55"/>
      <c r="BN107" s="55"/>
      <c r="BO107" s="55"/>
      <c r="BP107" s="55"/>
      <c r="BQ107" s="65"/>
      <c r="BR107" s="55"/>
      <c r="BS107" s="55"/>
      <c r="BT107" s="55"/>
      <c r="BU107" s="55"/>
      <c r="BV107" s="55"/>
      <c r="BW107" s="55"/>
      <c r="BX107" s="55"/>
      <c r="BY107" s="55"/>
      <c r="BZ107" s="65"/>
      <c r="CA107" s="55"/>
      <c r="CB107" s="55"/>
      <c r="CC107" s="55"/>
      <c r="CD107" s="55"/>
      <c r="CE107" s="55"/>
      <c r="CF107" s="55"/>
      <c r="CG107" s="55"/>
      <c r="CH107" s="55"/>
      <c r="CI107" s="55"/>
    </row>
    <row r="108" spans="1:87">
      <c r="A108" s="12" t="str">
        <f>Roster!A108</f>
        <v/>
      </c>
      <c r="B108" s="28">
        <f>Roster!C108</f>
        <v>0</v>
      </c>
      <c r="C108" s="28" t="str">
        <f>IF(COUNTIFS(Table36103[[#This Row],[Continue Existing]:[Start New]], "TRUE")=0, "YES", "NO")</f>
        <v>YES</v>
      </c>
      <c r="D108" s="28" t="b">
        <f>COUNTIFS(Table36103[[#This Row],[Screening Results: Drug &amp; Alcohol Assessment 1]:[Other Reason 9]], "Continue with existing treatment services")&gt;0</f>
        <v>0</v>
      </c>
      <c r="E108" s="28" t="b">
        <f>COUNTIFS(Table36103[[#This Row],[Screening Results: Drug &amp; Alcohol Assessment 1]:[Other Reason 9]], "Start new service")&gt;0</f>
        <v>0</v>
      </c>
      <c r="F108" s="55"/>
      <c r="G108" s="56"/>
      <c r="H108" s="57"/>
      <c r="I108" s="57"/>
      <c r="J108" s="57"/>
      <c r="K108" s="57"/>
      <c r="L108" s="57"/>
      <c r="M108" s="57"/>
      <c r="N108" s="45"/>
      <c r="O108" s="58"/>
      <c r="P108" s="56"/>
      <c r="Q108" s="57"/>
      <c r="R108" s="57"/>
      <c r="S108" s="57"/>
      <c r="T108" s="57"/>
      <c r="U108" s="57"/>
      <c r="V108" s="57"/>
      <c r="W108" s="45"/>
      <c r="X108" s="65"/>
      <c r="Y108" s="56"/>
      <c r="Z108" s="57"/>
      <c r="AA108" s="57"/>
      <c r="AB108" s="57"/>
      <c r="AC108" s="57"/>
      <c r="AD108" s="57"/>
      <c r="AE108" s="57"/>
      <c r="AF108" s="45"/>
      <c r="AG108" s="65"/>
      <c r="AH108" s="56"/>
      <c r="AI108" s="57"/>
      <c r="AJ108" s="57"/>
      <c r="AK108" s="57"/>
      <c r="AL108" s="57"/>
      <c r="AM108" s="57"/>
      <c r="AN108" s="57"/>
      <c r="AO108" s="45"/>
      <c r="AP108" s="65"/>
      <c r="AQ108" s="56"/>
      <c r="AR108" s="57"/>
      <c r="AS108" s="57"/>
      <c r="AT108" s="57"/>
      <c r="AU108" s="57"/>
      <c r="AV108" s="57"/>
      <c r="AW108" s="57"/>
      <c r="AX108" s="45"/>
      <c r="AY108" s="65"/>
      <c r="AZ108" s="56"/>
      <c r="BA108" s="55"/>
      <c r="BB108" s="55"/>
      <c r="BC108" s="55"/>
      <c r="BD108" s="55"/>
      <c r="BE108" s="55"/>
      <c r="BF108" s="55"/>
      <c r="BG108" s="45"/>
      <c r="BH108" s="65"/>
      <c r="BI108" s="55"/>
      <c r="BJ108" s="55"/>
      <c r="BK108" s="55"/>
      <c r="BL108" s="55"/>
      <c r="BM108" s="55"/>
      <c r="BN108" s="55"/>
      <c r="BO108" s="55"/>
      <c r="BP108" s="55"/>
      <c r="BQ108" s="65"/>
      <c r="BR108" s="55"/>
      <c r="BS108" s="55"/>
      <c r="BT108" s="55"/>
      <c r="BU108" s="55"/>
      <c r="BV108" s="55"/>
      <c r="BW108" s="55"/>
      <c r="BX108" s="55"/>
      <c r="BY108" s="55"/>
      <c r="BZ108" s="65"/>
      <c r="CA108" s="55"/>
      <c r="CB108" s="55"/>
      <c r="CC108" s="55"/>
      <c r="CD108" s="55"/>
      <c r="CE108" s="55"/>
      <c r="CF108" s="55"/>
      <c r="CG108" s="55"/>
      <c r="CH108" s="55"/>
      <c r="CI108" s="55"/>
    </row>
    <row r="109" spans="1:87">
      <c r="A109" s="12" t="str">
        <f>Roster!A109</f>
        <v/>
      </c>
      <c r="B109" s="28">
        <f>Roster!C109</f>
        <v>0</v>
      </c>
      <c r="C109" s="28" t="str">
        <f>IF(COUNTIFS(Table36103[[#This Row],[Continue Existing]:[Start New]], "TRUE")=0, "YES", "NO")</f>
        <v>YES</v>
      </c>
      <c r="D109" s="28" t="b">
        <f>COUNTIFS(Table36103[[#This Row],[Screening Results: Drug &amp; Alcohol Assessment 1]:[Other Reason 9]], "Continue with existing treatment services")&gt;0</f>
        <v>0</v>
      </c>
      <c r="E109" s="28" t="b">
        <f>COUNTIFS(Table36103[[#This Row],[Screening Results: Drug &amp; Alcohol Assessment 1]:[Other Reason 9]], "Start new service")&gt;0</f>
        <v>0</v>
      </c>
      <c r="F109" s="55"/>
      <c r="G109" s="56"/>
      <c r="H109" s="57"/>
      <c r="I109" s="57"/>
      <c r="J109" s="57"/>
      <c r="K109" s="57"/>
      <c r="L109" s="57"/>
      <c r="M109" s="57"/>
      <c r="N109" s="45"/>
      <c r="O109" s="58"/>
      <c r="P109" s="56"/>
      <c r="Q109" s="57"/>
      <c r="R109" s="57"/>
      <c r="S109" s="57"/>
      <c r="T109" s="57"/>
      <c r="U109" s="57"/>
      <c r="V109" s="57"/>
      <c r="W109" s="45"/>
      <c r="X109" s="65"/>
      <c r="Y109" s="56"/>
      <c r="Z109" s="57"/>
      <c r="AA109" s="57"/>
      <c r="AB109" s="57"/>
      <c r="AC109" s="57"/>
      <c r="AD109" s="57"/>
      <c r="AE109" s="57"/>
      <c r="AF109" s="45"/>
      <c r="AG109" s="65"/>
      <c r="AH109" s="56"/>
      <c r="AI109" s="57"/>
      <c r="AJ109" s="57"/>
      <c r="AK109" s="57"/>
      <c r="AL109" s="57"/>
      <c r="AM109" s="57"/>
      <c r="AN109" s="57"/>
      <c r="AO109" s="45"/>
      <c r="AP109" s="65"/>
      <c r="AQ109" s="56"/>
      <c r="AR109" s="57"/>
      <c r="AS109" s="57"/>
      <c r="AT109" s="57"/>
      <c r="AU109" s="57"/>
      <c r="AV109" s="57"/>
      <c r="AW109" s="57"/>
      <c r="AX109" s="45"/>
      <c r="AY109" s="65"/>
      <c r="AZ109" s="56"/>
      <c r="BA109" s="55"/>
      <c r="BB109" s="55"/>
      <c r="BC109" s="55"/>
      <c r="BD109" s="55"/>
      <c r="BE109" s="55"/>
      <c r="BF109" s="55"/>
      <c r="BG109" s="45"/>
      <c r="BH109" s="65"/>
      <c r="BI109" s="55"/>
      <c r="BJ109" s="55"/>
      <c r="BK109" s="55"/>
      <c r="BL109" s="55"/>
      <c r="BM109" s="55"/>
      <c r="BN109" s="55"/>
      <c r="BO109" s="55"/>
      <c r="BP109" s="55"/>
      <c r="BQ109" s="65"/>
      <c r="BR109" s="55"/>
      <c r="BS109" s="55"/>
      <c r="BT109" s="55"/>
      <c r="BU109" s="55"/>
      <c r="BV109" s="55"/>
      <c r="BW109" s="55"/>
      <c r="BX109" s="55"/>
      <c r="BY109" s="55"/>
      <c r="BZ109" s="65"/>
      <c r="CA109" s="55"/>
      <c r="CB109" s="55"/>
      <c r="CC109" s="55"/>
      <c r="CD109" s="55"/>
      <c r="CE109" s="55"/>
      <c r="CF109" s="55"/>
      <c r="CG109" s="55"/>
      <c r="CH109" s="55"/>
      <c r="CI109" s="55"/>
    </row>
    <row r="110" spans="1:87">
      <c r="A110" s="12" t="str">
        <f>Roster!A110</f>
        <v/>
      </c>
      <c r="B110" s="28">
        <f>Roster!C110</f>
        <v>0</v>
      </c>
      <c r="C110" s="28" t="str">
        <f>IF(COUNTIFS(Table36103[[#This Row],[Continue Existing]:[Start New]], "TRUE")=0, "YES", "NO")</f>
        <v>YES</v>
      </c>
      <c r="D110" s="28" t="b">
        <f>COUNTIFS(Table36103[[#This Row],[Screening Results: Drug &amp; Alcohol Assessment 1]:[Other Reason 9]], "Continue with existing treatment services")&gt;0</f>
        <v>0</v>
      </c>
      <c r="E110" s="28" t="b">
        <f>COUNTIFS(Table36103[[#This Row],[Screening Results: Drug &amp; Alcohol Assessment 1]:[Other Reason 9]], "Start new service")&gt;0</f>
        <v>0</v>
      </c>
      <c r="F110" s="55"/>
      <c r="G110" s="56"/>
      <c r="H110" s="57"/>
      <c r="I110" s="57"/>
      <c r="J110" s="57"/>
      <c r="K110" s="57"/>
      <c r="L110" s="57"/>
      <c r="M110" s="57"/>
      <c r="N110" s="45"/>
      <c r="O110" s="58"/>
      <c r="P110" s="56"/>
      <c r="Q110" s="57"/>
      <c r="R110" s="57"/>
      <c r="S110" s="57"/>
      <c r="T110" s="57"/>
      <c r="U110" s="57"/>
      <c r="V110" s="57"/>
      <c r="W110" s="45"/>
      <c r="X110" s="65"/>
      <c r="Y110" s="56"/>
      <c r="Z110" s="57"/>
      <c r="AA110" s="57"/>
      <c r="AB110" s="57"/>
      <c r="AC110" s="57"/>
      <c r="AD110" s="57"/>
      <c r="AE110" s="57"/>
      <c r="AF110" s="45"/>
      <c r="AG110" s="65"/>
      <c r="AH110" s="56"/>
      <c r="AI110" s="57"/>
      <c r="AJ110" s="57"/>
      <c r="AK110" s="57"/>
      <c r="AL110" s="57"/>
      <c r="AM110" s="57"/>
      <c r="AN110" s="57"/>
      <c r="AO110" s="45"/>
      <c r="AP110" s="65"/>
      <c r="AQ110" s="56"/>
      <c r="AR110" s="57"/>
      <c r="AS110" s="57"/>
      <c r="AT110" s="57"/>
      <c r="AU110" s="57"/>
      <c r="AV110" s="57"/>
      <c r="AW110" s="57"/>
      <c r="AX110" s="45"/>
      <c r="AY110" s="65"/>
      <c r="AZ110" s="56"/>
      <c r="BA110" s="55"/>
      <c r="BB110" s="55"/>
      <c r="BC110" s="55"/>
      <c r="BD110" s="55"/>
      <c r="BE110" s="55"/>
      <c r="BF110" s="55"/>
      <c r="BG110" s="45"/>
      <c r="BH110" s="65"/>
      <c r="BI110" s="55"/>
      <c r="BJ110" s="55"/>
      <c r="BK110" s="55"/>
      <c r="BL110" s="55"/>
      <c r="BM110" s="55"/>
      <c r="BN110" s="55"/>
      <c r="BO110" s="55"/>
      <c r="BP110" s="55"/>
      <c r="BQ110" s="65"/>
      <c r="BR110" s="55"/>
      <c r="BS110" s="55"/>
      <c r="BT110" s="55"/>
      <c r="BU110" s="55"/>
      <c r="BV110" s="55"/>
      <c r="BW110" s="55"/>
      <c r="BX110" s="55"/>
      <c r="BY110" s="55"/>
      <c r="BZ110" s="65"/>
      <c r="CA110" s="55"/>
      <c r="CB110" s="55"/>
      <c r="CC110" s="55"/>
      <c r="CD110" s="55"/>
      <c r="CE110" s="55"/>
      <c r="CF110" s="55"/>
      <c r="CG110" s="55"/>
      <c r="CH110" s="55"/>
      <c r="CI110" s="55"/>
    </row>
    <row r="111" spans="1:87">
      <c r="A111" s="12" t="str">
        <f>Roster!A111</f>
        <v/>
      </c>
      <c r="B111" s="28">
        <f>Roster!C111</f>
        <v>0</v>
      </c>
      <c r="C111" s="28" t="str">
        <f>IF(COUNTIFS(Table36103[[#This Row],[Continue Existing]:[Start New]], "TRUE")=0, "YES", "NO")</f>
        <v>YES</v>
      </c>
      <c r="D111" s="28" t="b">
        <f>COUNTIFS(Table36103[[#This Row],[Screening Results: Drug &amp; Alcohol Assessment 1]:[Other Reason 9]], "Continue with existing treatment services")&gt;0</f>
        <v>0</v>
      </c>
      <c r="E111" s="28" t="b">
        <f>COUNTIFS(Table36103[[#This Row],[Screening Results: Drug &amp; Alcohol Assessment 1]:[Other Reason 9]], "Start new service")&gt;0</f>
        <v>0</v>
      </c>
      <c r="F111" s="55"/>
      <c r="G111" s="56"/>
      <c r="H111" s="57"/>
      <c r="I111" s="57"/>
      <c r="J111" s="57"/>
      <c r="K111" s="57"/>
      <c r="L111" s="57"/>
      <c r="M111" s="57"/>
      <c r="N111" s="45"/>
      <c r="O111" s="58"/>
      <c r="P111" s="56"/>
      <c r="Q111" s="57"/>
      <c r="R111" s="57"/>
      <c r="S111" s="57"/>
      <c r="T111" s="57"/>
      <c r="U111" s="57"/>
      <c r="V111" s="57"/>
      <c r="W111" s="45"/>
      <c r="X111" s="65"/>
      <c r="Y111" s="56"/>
      <c r="Z111" s="57"/>
      <c r="AA111" s="57"/>
      <c r="AB111" s="57"/>
      <c r="AC111" s="57"/>
      <c r="AD111" s="57"/>
      <c r="AE111" s="57"/>
      <c r="AF111" s="45"/>
      <c r="AG111" s="65"/>
      <c r="AH111" s="56"/>
      <c r="AI111" s="57"/>
      <c r="AJ111" s="57"/>
      <c r="AK111" s="57"/>
      <c r="AL111" s="57"/>
      <c r="AM111" s="57"/>
      <c r="AN111" s="57"/>
      <c r="AO111" s="45"/>
      <c r="AP111" s="65"/>
      <c r="AQ111" s="56"/>
      <c r="AR111" s="57"/>
      <c r="AS111" s="57"/>
      <c r="AT111" s="57"/>
      <c r="AU111" s="57"/>
      <c r="AV111" s="57"/>
      <c r="AW111" s="57"/>
      <c r="AX111" s="45"/>
      <c r="AY111" s="65"/>
      <c r="AZ111" s="56"/>
      <c r="BA111" s="55"/>
      <c r="BB111" s="55"/>
      <c r="BC111" s="55"/>
      <c r="BD111" s="55"/>
      <c r="BE111" s="55"/>
      <c r="BF111" s="55"/>
      <c r="BG111" s="45"/>
      <c r="BH111" s="65"/>
      <c r="BI111" s="55"/>
      <c r="BJ111" s="55"/>
      <c r="BK111" s="55"/>
      <c r="BL111" s="55"/>
      <c r="BM111" s="55"/>
      <c r="BN111" s="55"/>
      <c r="BO111" s="55"/>
      <c r="BP111" s="55"/>
      <c r="BQ111" s="65"/>
      <c r="BR111" s="55"/>
      <c r="BS111" s="55"/>
      <c r="BT111" s="55"/>
      <c r="BU111" s="55"/>
      <c r="BV111" s="55"/>
      <c r="BW111" s="55"/>
      <c r="BX111" s="55"/>
      <c r="BY111" s="55"/>
      <c r="BZ111" s="65"/>
      <c r="CA111" s="55"/>
      <c r="CB111" s="55"/>
      <c r="CC111" s="55"/>
      <c r="CD111" s="55"/>
      <c r="CE111" s="55"/>
      <c r="CF111" s="55"/>
      <c r="CG111" s="55"/>
      <c r="CH111" s="55"/>
      <c r="CI111" s="55"/>
    </row>
    <row r="112" spans="1:87">
      <c r="A112" s="12" t="str">
        <f>Roster!A112</f>
        <v/>
      </c>
      <c r="B112" s="28">
        <f>Roster!C112</f>
        <v>0</v>
      </c>
      <c r="C112" s="28" t="str">
        <f>IF(COUNTIFS(Table36103[[#This Row],[Continue Existing]:[Start New]], "TRUE")=0, "YES", "NO")</f>
        <v>YES</v>
      </c>
      <c r="D112" s="28" t="b">
        <f>COUNTIFS(Table36103[[#This Row],[Screening Results: Drug &amp; Alcohol Assessment 1]:[Other Reason 9]], "Continue with existing treatment services")&gt;0</f>
        <v>0</v>
      </c>
      <c r="E112" s="28" t="b">
        <f>COUNTIFS(Table36103[[#This Row],[Screening Results: Drug &amp; Alcohol Assessment 1]:[Other Reason 9]], "Start new service")&gt;0</f>
        <v>0</v>
      </c>
      <c r="F112" s="55"/>
      <c r="G112" s="56"/>
      <c r="H112" s="57"/>
      <c r="I112" s="57"/>
      <c r="J112" s="57"/>
      <c r="K112" s="57"/>
      <c r="L112" s="57"/>
      <c r="M112" s="57"/>
      <c r="N112" s="45"/>
      <c r="O112" s="58"/>
      <c r="P112" s="56"/>
      <c r="Q112" s="57"/>
      <c r="R112" s="57"/>
      <c r="S112" s="57"/>
      <c r="T112" s="57"/>
      <c r="U112" s="57"/>
      <c r="V112" s="57"/>
      <c r="W112" s="45"/>
      <c r="X112" s="65"/>
      <c r="Y112" s="56"/>
      <c r="Z112" s="57"/>
      <c r="AA112" s="57"/>
      <c r="AB112" s="57"/>
      <c r="AC112" s="57"/>
      <c r="AD112" s="57"/>
      <c r="AE112" s="57"/>
      <c r="AF112" s="45"/>
      <c r="AG112" s="65"/>
      <c r="AH112" s="56"/>
      <c r="AI112" s="57"/>
      <c r="AJ112" s="57"/>
      <c r="AK112" s="57"/>
      <c r="AL112" s="57"/>
      <c r="AM112" s="57"/>
      <c r="AN112" s="57"/>
      <c r="AO112" s="45"/>
      <c r="AP112" s="65"/>
      <c r="AQ112" s="56"/>
      <c r="AR112" s="57"/>
      <c r="AS112" s="57"/>
      <c r="AT112" s="57"/>
      <c r="AU112" s="57"/>
      <c r="AV112" s="57"/>
      <c r="AW112" s="57"/>
      <c r="AX112" s="45"/>
      <c r="AY112" s="65"/>
      <c r="AZ112" s="56"/>
      <c r="BA112" s="55"/>
      <c r="BB112" s="55"/>
      <c r="BC112" s="55"/>
      <c r="BD112" s="55"/>
      <c r="BE112" s="55"/>
      <c r="BF112" s="55"/>
      <c r="BG112" s="45"/>
      <c r="BH112" s="65"/>
      <c r="BI112" s="55"/>
      <c r="BJ112" s="55"/>
      <c r="BK112" s="55"/>
      <c r="BL112" s="55"/>
      <c r="BM112" s="55"/>
      <c r="BN112" s="55"/>
      <c r="BO112" s="55"/>
      <c r="BP112" s="55"/>
      <c r="BQ112" s="65"/>
      <c r="BR112" s="55"/>
      <c r="BS112" s="55"/>
      <c r="BT112" s="55"/>
      <c r="BU112" s="55"/>
      <c r="BV112" s="55"/>
      <c r="BW112" s="55"/>
      <c r="BX112" s="55"/>
      <c r="BY112" s="55"/>
      <c r="BZ112" s="65"/>
      <c r="CA112" s="55"/>
      <c r="CB112" s="55"/>
      <c r="CC112" s="55"/>
      <c r="CD112" s="55"/>
      <c r="CE112" s="55"/>
      <c r="CF112" s="55"/>
      <c r="CG112" s="55"/>
      <c r="CH112" s="55"/>
      <c r="CI112" s="55"/>
    </row>
    <row r="113" spans="1:87">
      <c r="A113" s="12" t="str">
        <f>Roster!A113</f>
        <v/>
      </c>
      <c r="B113" s="28">
        <f>Roster!C113</f>
        <v>0</v>
      </c>
      <c r="C113" s="28" t="str">
        <f>IF(COUNTIFS(Table36103[[#This Row],[Continue Existing]:[Start New]], "TRUE")=0, "YES", "NO")</f>
        <v>YES</v>
      </c>
      <c r="D113" s="28" t="b">
        <f>COUNTIFS(Table36103[[#This Row],[Screening Results: Drug &amp; Alcohol Assessment 1]:[Other Reason 9]], "Continue with existing treatment services")&gt;0</f>
        <v>0</v>
      </c>
      <c r="E113" s="28" t="b">
        <f>COUNTIFS(Table36103[[#This Row],[Screening Results: Drug &amp; Alcohol Assessment 1]:[Other Reason 9]], "Start new service")&gt;0</f>
        <v>0</v>
      </c>
      <c r="F113" s="55"/>
      <c r="G113" s="56"/>
      <c r="H113" s="57"/>
      <c r="I113" s="57"/>
      <c r="J113" s="57"/>
      <c r="K113" s="57"/>
      <c r="L113" s="57"/>
      <c r="M113" s="57"/>
      <c r="N113" s="45"/>
      <c r="O113" s="58"/>
      <c r="P113" s="56"/>
      <c r="Q113" s="57"/>
      <c r="R113" s="57"/>
      <c r="S113" s="57"/>
      <c r="T113" s="57"/>
      <c r="U113" s="57"/>
      <c r="V113" s="57"/>
      <c r="W113" s="45"/>
      <c r="X113" s="65"/>
      <c r="Y113" s="56"/>
      <c r="Z113" s="57"/>
      <c r="AA113" s="57"/>
      <c r="AB113" s="57"/>
      <c r="AC113" s="57"/>
      <c r="AD113" s="57"/>
      <c r="AE113" s="57"/>
      <c r="AF113" s="45"/>
      <c r="AG113" s="65"/>
      <c r="AH113" s="56"/>
      <c r="AI113" s="57"/>
      <c r="AJ113" s="57"/>
      <c r="AK113" s="57"/>
      <c r="AL113" s="57"/>
      <c r="AM113" s="57"/>
      <c r="AN113" s="57"/>
      <c r="AO113" s="45"/>
      <c r="AP113" s="65"/>
      <c r="AQ113" s="56"/>
      <c r="AR113" s="57"/>
      <c r="AS113" s="57"/>
      <c r="AT113" s="57"/>
      <c r="AU113" s="57"/>
      <c r="AV113" s="57"/>
      <c r="AW113" s="57"/>
      <c r="AX113" s="45"/>
      <c r="AY113" s="65"/>
      <c r="AZ113" s="56"/>
      <c r="BA113" s="55"/>
      <c r="BB113" s="55"/>
      <c r="BC113" s="55"/>
      <c r="BD113" s="55"/>
      <c r="BE113" s="55"/>
      <c r="BF113" s="55"/>
      <c r="BG113" s="45"/>
      <c r="BH113" s="65"/>
      <c r="BI113" s="55"/>
      <c r="BJ113" s="55"/>
      <c r="BK113" s="55"/>
      <c r="BL113" s="55"/>
      <c r="BM113" s="55"/>
      <c r="BN113" s="55"/>
      <c r="BO113" s="55"/>
      <c r="BP113" s="55"/>
      <c r="BQ113" s="65"/>
      <c r="BR113" s="55"/>
      <c r="BS113" s="55"/>
      <c r="BT113" s="55"/>
      <c r="BU113" s="55"/>
      <c r="BV113" s="55"/>
      <c r="BW113" s="55"/>
      <c r="BX113" s="55"/>
      <c r="BY113" s="55"/>
      <c r="BZ113" s="65"/>
      <c r="CA113" s="55"/>
      <c r="CB113" s="55"/>
      <c r="CC113" s="55"/>
      <c r="CD113" s="55"/>
      <c r="CE113" s="55"/>
      <c r="CF113" s="55"/>
      <c r="CG113" s="55"/>
      <c r="CH113" s="55"/>
      <c r="CI113" s="55"/>
    </row>
    <row r="114" spans="1:87">
      <c r="A114" s="12" t="str">
        <f>Roster!A114</f>
        <v/>
      </c>
      <c r="B114" s="28">
        <f>Roster!C114</f>
        <v>0</v>
      </c>
      <c r="C114" s="28" t="str">
        <f>IF(COUNTIFS(Table36103[[#This Row],[Continue Existing]:[Start New]], "TRUE")=0, "YES", "NO")</f>
        <v>YES</v>
      </c>
      <c r="D114" s="28" t="b">
        <f>COUNTIFS(Table36103[[#This Row],[Screening Results: Drug &amp; Alcohol Assessment 1]:[Other Reason 9]], "Continue with existing treatment services")&gt;0</f>
        <v>0</v>
      </c>
      <c r="E114" s="28" t="b">
        <f>COUNTIFS(Table36103[[#This Row],[Screening Results: Drug &amp; Alcohol Assessment 1]:[Other Reason 9]], "Start new service")&gt;0</f>
        <v>0</v>
      </c>
      <c r="F114" s="55"/>
      <c r="G114" s="56"/>
      <c r="H114" s="57"/>
      <c r="I114" s="57"/>
      <c r="J114" s="57"/>
      <c r="K114" s="57"/>
      <c r="L114" s="57"/>
      <c r="M114" s="57"/>
      <c r="N114" s="45"/>
      <c r="O114" s="58"/>
      <c r="P114" s="56"/>
      <c r="Q114" s="57"/>
      <c r="R114" s="57"/>
      <c r="S114" s="57"/>
      <c r="T114" s="57"/>
      <c r="U114" s="57"/>
      <c r="V114" s="57"/>
      <c r="W114" s="45"/>
      <c r="X114" s="65"/>
      <c r="Y114" s="56"/>
      <c r="Z114" s="57"/>
      <c r="AA114" s="57"/>
      <c r="AB114" s="57"/>
      <c r="AC114" s="57"/>
      <c r="AD114" s="57"/>
      <c r="AE114" s="57"/>
      <c r="AF114" s="45"/>
      <c r="AG114" s="65"/>
      <c r="AH114" s="56"/>
      <c r="AI114" s="57"/>
      <c r="AJ114" s="57"/>
      <c r="AK114" s="57"/>
      <c r="AL114" s="57"/>
      <c r="AM114" s="57"/>
      <c r="AN114" s="57"/>
      <c r="AO114" s="45"/>
      <c r="AP114" s="65"/>
      <c r="AQ114" s="56"/>
      <c r="AR114" s="57"/>
      <c r="AS114" s="57"/>
      <c r="AT114" s="57"/>
      <c r="AU114" s="57"/>
      <c r="AV114" s="57"/>
      <c r="AW114" s="57"/>
      <c r="AX114" s="45"/>
      <c r="AY114" s="65"/>
      <c r="AZ114" s="56"/>
      <c r="BA114" s="55"/>
      <c r="BB114" s="55"/>
      <c r="BC114" s="55"/>
      <c r="BD114" s="55"/>
      <c r="BE114" s="55"/>
      <c r="BF114" s="55"/>
      <c r="BG114" s="45"/>
      <c r="BH114" s="65"/>
      <c r="BI114" s="55"/>
      <c r="BJ114" s="55"/>
      <c r="BK114" s="55"/>
      <c r="BL114" s="55"/>
      <c r="BM114" s="55"/>
      <c r="BN114" s="55"/>
      <c r="BO114" s="55"/>
      <c r="BP114" s="55"/>
      <c r="BQ114" s="65"/>
      <c r="BR114" s="55"/>
      <c r="BS114" s="55"/>
      <c r="BT114" s="55"/>
      <c r="BU114" s="55"/>
      <c r="BV114" s="55"/>
      <c r="BW114" s="55"/>
      <c r="BX114" s="55"/>
      <c r="BY114" s="55"/>
      <c r="BZ114" s="65"/>
      <c r="CA114" s="55"/>
      <c r="CB114" s="55"/>
      <c r="CC114" s="55"/>
      <c r="CD114" s="55"/>
      <c r="CE114" s="55"/>
      <c r="CF114" s="55"/>
      <c r="CG114" s="55"/>
      <c r="CH114" s="55"/>
      <c r="CI114" s="55"/>
    </row>
    <row r="115" spans="1:87">
      <c r="A115" s="12" t="str">
        <f>Roster!A115</f>
        <v/>
      </c>
      <c r="B115" s="28">
        <f>Roster!C115</f>
        <v>0</v>
      </c>
      <c r="C115" s="28" t="str">
        <f>IF(COUNTIFS(Table36103[[#This Row],[Continue Existing]:[Start New]], "TRUE")=0, "YES", "NO")</f>
        <v>YES</v>
      </c>
      <c r="D115" s="28" t="b">
        <f>COUNTIFS(Table36103[[#This Row],[Screening Results: Drug &amp; Alcohol Assessment 1]:[Other Reason 9]], "Continue with existing treatment services")&gt;0</f>
        <v>0</v>
      </c>
      <c r="E115" s="28" t="b">
        <f>COUNTIFS(Table36103[[#This Row],[Screening Results: Drug &amp; Alcohol Assessment 1]:[Other Reason 9]], "Start new service")&gt;0</f>
        <v>0</v>
      </c>
      <c r="F115" s="55"/>
      <c r="G115" s="56"/>
      <c r="H115" s="57"/>
      <c r="I115" s="57"/>
      <c r="J115" s="57"/>
      <c r="K115" s="57"/>
      <c r="L115" s="57"/>
      <c r="M115" s="57"/>
      <c r="N115" s="45"/>
      <c r="O115" s="58"/>
      <c r="P115" s="56"/>
      <c r="Q115" s="57"/>
      <c r="R115" s="57"/>
      <c r="S115" s="57"/>
      <c r="T115" s="57"/>
      <c r="U115" s="57"/>
      <c r="V115" s="57"/>
      <c r="W115" s="45"/>
      <c r="X115" s="65"/>
      <c r="Y115" s="56"/>
      <c r="Z115" s="57"/>
      <c r="AA115" s="57"/>
      <c r="AB115" s="57"/>
      <c r="AC115" s="57"/>
      <c r="AD115" s="57"/>
      <c r="AE115" s="57"/>
      <c r="AF115" s="45"/>
      <c r="AG115" s="65"/>
      <c r="AH115" s="56"/>
      <c r="AI115" s="57"/>
      <c r="AJ115" s="57"/>
      <c r="AK115" s="57"/>
      <c r="AL115" s="57"/>
      <c r="AM115" s="57"/>
      <c r="AN115" s="57"/>
      <c r="AO115" s="45"/>
      <c r="AP115" s="65"/>
      <c r="AQ115" s="56"/>
      <c r="AR115" s="57"/>
      <c r="AS115" s="57"/>
      <c r="AT115" s="57"/>
      <c r="AU115" s="57"/>
      <c r="AV115" s="57"/>
      <c r="AW115" s="57"/>
      <c r="AX115" s="45"/>
      <c r="AY115" s="65"/>
      <c r="AZ115" s="56"/>
      <c r="BA115" s="55"/>
      <c r="BB115" s="55"/>
      <c r="BC115" s="55"/>
      <c r="BD115" s="55"/>
      <c r="BE115" s="55"/>
      <c r="BF115" s="55"/>
      <c r="BG115" s="45"/>
      <c r="BH115" s="65"/>
      <c r="BI115" s="55"/>
      <c r="BJ115" s="55"/>
      <c r="BK115" s="55"/>
      <c r="BL115" s="55"/>
      <c r="BM115" s="55"/>
      <c r="BN115" s="55"/>
      <c r="BO115" s="55"/>
      <c r="BP115" s="55"/>
      <c r="BQ115" s="65"/>
      <c r="BR115" s="55"/>
      <c r="BS115" s="55"/>
      <c r="BT115" s="55"/>
      <c r="BU115" s="55"/>
      <c r="BV115" s="55"/>
      <c r="BW115" s="55"/>
      <c r="BX115" s="55"/>
      <c r="BY115" s="55"/>
      <c r="BZ115" s="65"/>
      <c r="CA115" s="55"/>
      <c r="CB115" s="55"/>
      <c r="CC115" s="55"/>
      <c r="CD115" s="55"/>
      <c r="CE115" s="55"/>
      <c r="CF115" s="55"/>
      <c r="CG115" s="55"/>
      <c r="CH115" s="55"/>
      <c r="CI115" s="55"/>
    </row>
    <row r="116" spans="1:87">
      <c r="A116" s="12" t="str">
        <f>Roster!A116</f>
        <v/>
      </c>
      <c r="B116" s="28">
        <f>Roster!C116</f>
        <v>0</v>
      </c>
      <c r="C116" s="28" t="str">
        <f>IF(COUNTIFS(Table36103[[#This Row],[Continue Existing]:[Start New]], "TRUE")=0, "YES", "NO")</f>
        <v>YES</v>
      </c>
      <c r="D116" s="28" t="b">
        <f>COUNTIFS(Table36103[[#This Row],[Screening Results: Drug &amp; Alcohol Assessment 1]:[Other Reason 9]], "Continue with existing treatment services")&gt;0</f>
        <v>0</v>
      </c>
      <c r="E116" s="28" t="b">
        <f>COUNTIFS(Table36103[[#This Row],[Screening Results: Drug &amp; Alcohol Assessment 1]:[Other Reason 9]], "Start new service")&gt;0</f>
        <v>0</v>
      </c>
      <c r="F116" s="55"/>
      <c r="G116" s="56"/>
      <c r="H116" s="57"/>
      <c r="I116" s="57"/>
      <c r="J116" s="57"/>
      <c r="K116" s="57"/>
      <c r="L116" s="57"/>
      <c r="M116" s="57"/>
      <c r="N116" s="45"/>
      <c r="O116" s="58"/>
      <c r="P116" s="56"/>
      <c r="Q116" s="57"/>
      <c r="R116" s="57"/>
      <c r="S116" s="57"/>
      <c r="T116" s="57"/>
      <c r="U116" s="57"/>
      <c r="V116" s="57"/>
      <c r="W116" s="45"/>
      <c r="X116" s="65"/>
      <c r="Y116" s="56"/>
      <c r="Z116" s="57"/>
      <c r="AA116" s="57"/>
      <c r="AB116" s="57"/>
      <c r="AC116" s="57"/>
      <c r="AD116" s="57"/>
      <c r="AE116" s="57"/>
      <c r="AF116" s="45"/>
      <c r="AG116" s="65"/>
      <c r="AH116" s="56"/>
      <c r="AI116" s="57"/>
      <c r="AJ116" s="57"/>
      <c r="AK116" s="57"/>
      <c r="AL116" s="57"/>
      <c r="AM116" s="57"/>
      <c r="AN116" s="57"/>
      <c r="AO116" s="45"/>
      <c r="AP116" s="65"/>
      <c r="AQ116" s="56"/>
      <c r="AR116" s="57"/>
      <c r="AS116" s="57"/>
      <c r="AT116" s="57"/>
      <c r="AU116" s="57"/>
      <c r="AV116" s="57"/>
      <c r="AW116" s="57"/>
      <c r="AX116" s="45"/>
      <c r="AY116" s="65"/>
      <c r="AZ116" s="56"/>
      <c r="BA116" s="55"/>
      <c r="BB116" s="55"/>
      <c r="BC116" s="55"/>
      <c r="BD116" s="55"/>
      <c r="BE116" s="55"/>
      <c r="BF116" s="55"/>
      <c r="BG116" s="45"/>
      <c r="BH116" s="65"/>
      <c r="BI116" s="55"/>
      <c r="BJ116" s="55"/>
      <c r="BK116" s="55"/>
      <c r="BL116" s="55"/>
      <c r="BM116" s="55"/>
      <c r="BN116" s="55"/>
      <c r="BO116" s="55"/>
      <c r="BP116" s="55"/>
      <c r="BQ116" s="65"/>
      <c r="BR116" s="55"/>
      <c r="BS116" s="55"/>
      <c r="BT116" s="55"/>
      <c r="BU116" s="55"/>
      <c r="BV116" s="55"/>
      <c r="BW116" s="55"/>
      <c r="BX116" s="55"/>
      <c r="BY116" s="55"/>
      <c r="BZ116" s="65"/>
      <c r="CA116" s="55"/>
      <c r="CB116" s="55"/>
      <c r="CC116" s="55"/>
      <c r="CD116" s="55"/>
      <c r="CE116" s="55"/>
      <c r="CF116" s="55"/>
      <c r="CG116" s="55"/>
      <c r="CH116" s="55"/>
      <c r="CI116" s="55"/>
    </row>
    <row r="117" spans="1:87">
      <c r="A117" s="12" t="str">
        <f>Roster!A117</f>
        <v/>
      </c>
      <c r="B117" s="28">
        <f>Roster!C117</f>
        <v>0</v>
      </c>
      <c r="C117" s="28" t="str">
        <f>IF(COUNTIFS(Table36103[[#This Row],[Continue Existing]:[Start New]], "TRUE")=0, "YES", "NO")</f>
        <v>YES</v>
      </c>
      <c r="D117" s="28" t="b">
        <f>COUNTIFS(Table36103[[#This Row],[Screening Results: Drug &amp; Alcohol Assessment 1]:[Other Reason 9]], "Continue with existing treatment services")&gt;0</f>
        <v>0</v>
      </c>
      <c r="E117" s="28" t="b">
        <f>COUNTIFS(Table36103[[#This Row],[Screening Results: Drug &amp; Alcohol Assessment 1]:[Other Reason 9]], "Start new service")&gt;0</f>
        <v>0</v>
      </c>
      <c r="F117" s="55"/>
      <c r="G117" s="56"/>
      <c r="H117" s="57"/>
      <c r="I117" s="57"/>
      <c r="J117" s="57"/>
      <c r="K117" s="57"/>
      <c r="L117" s="57"/>
      <c r="M117" s="57"/>
      <c r="N117" s="45"/>
      <c r="O117" s="58"/>
      <c r="P117" s="56"/>
      <c r="Q117" s="57"/>
      <c r="R117" s="57"/>
      <c r="S117" s="57"/>
      <c r="T117" s="57"/>
      <c r="U117" s="57"/>
      <c r="V117" s="57"/>
      <c r="W117" s="45"/>
      <c r="X117" s="65"/>
      <c r="Y117" s="56"/>
      <c r="Z117" s="57"/>
      <c r="AA117" s="57"/>
      <c r="AB117" s="57"/>
      <c r="AC117" s="57"/>
      <c r="AD117" s="57"/>
      <c r="AE117" s="57"/>
      <c r="AF117" s="45"/>
      <c r="AG117" s="65"/>
      <c r="AH117" s="56"/>
      <c r="AI117" s="57"/>
      <c r="AJ117" s="57"/>
      <c r="AK117" s="57"/>
      <c r="AL117" s="57"/>
      <c r="AM117" s="57"/>
      <c r="AN117" s="57"/>
      <c r="AO117" s="45"/>
      <c r="AP117" s="65"/>
      <c r="AQ117" s="56"/>
      <c r="AR117" s="57"/>
      <c r="AS117" s="57"/>
      <c r="AT117" s="57"/>
      <c r="AU117" s="57"/>
      <c r="AV117" s="57"/>
      <c r="AW117" s="57"/>
      <c r="AX117" s="45"/>
      <c r="AY117" s="65"/>
      <c r="AZ117" s="56"/>
      <c r="BA117" s="55"/>
      <c r="BB117" s="55"/>
      <c r="BC117" s="55"/>
      <c r="BD117" s="55"/>
      <c r="BE117" s="55"/>
      <c r="BF117" s="55"/>
      <c r="BG117" s="45"/>
      <c r="BH117" s="65"/>
      <c r="BI117" s="55"/>
      <c r="BJ117" s="55"/>
      <c r="BK117" s="55"/>
      <c r="BL117" s="55"/>
      <c r="BM117" s="55"/>
      <c r="BN117" s="55"/>
      <c r="BO117" s="55"/>
      <c r="BP117" s="55"/>
      <c r="BQ117" s="65"/>
      <c r="BR117" s="55"/>
      <c r="BS117" s="55"/>
      <c r="BT117" s="55"/>
      <c r="BU117" s="55"/>
      <c r="BV117" s="55"/>
      <c r="BW117" s="55"/>
      <c r="BX117" s="55"/>
      <c r="BY117" s="55"/>
      <c r="BZ117" s="65"/>
      <c r="CA117" s="55"/>
      <c r="CB117" s="55"/>
      <c r="CC117" s="55"/>
      <c r="CD117" s="55"/>
      <c r="CE117" s="55"/>
      <c r="CF117" s="55"/>
      <c r="CG117" s="55"/>
      <c r="CH117" s="55"/>
      <c r="CI117" s="55"/>
    </row>
    <row r="118" spans="1:87">
      <c r="A118" s="12" t="str">
        <f>Roster!A118</f>
        <v/>
      </c>
      <c r="B118" s="28">
        <f>Roster!C118</f>
        <v>0</v>
      </c>
      <c r="C118" s="28" t="str">
        <f>IF(COUNTIFS(Table36103[[#This Row],[Continue Existing]:[Start New]], "TRUE")=0, "YES", "NO")</f>
        <v>YES</v>
      </c>
      <c r="D118" s="28" t="b">
        <f>COUNTIFS(Table36103[[#This Row],[Screening Results: Drug &amp; Alcohol Assessment 1]:[Other Reason 9]], "Continue with existing treatment services")&gt;0</f>
        <v>0</v>
      </c>
      <c r="E118" s="28" t="b">
        <f>COUNTIFS(Table36103[[#This Row],[Screening Results: Drug &amp; Alcohol Assessment 1]:[Other Reason 9]], "Start new service")&gt;0</f>
        <v>0</v>
      </c>
      <c r="F118" s="55"/>
      <c r="G118" s="56"/>
      <c r="H118" s="57"/>
      <c r="I118" s="57"/>
      <c r="J118" s="57"/>
      <c r="K118" s="57"/>
      <c r="L118" s="57"/>
      <c r="M118" s="57"/>
      <c r="N118" s="45"/>
      <c r="O118" s="58"/>
      <c r="P118" s="56"/>
      <c r="Q118" s="57"/>
      <c r="R118" s="57"/>
      <c r="S118" s="57"/>
      <c r="T118" s="57"/>
      <c r="U118" s="57"/>
      <c r="V118" s="57"/>
      <c r="W118" s="45"/>
      <c r="X118" s="65"/>
      <c r="Y118" s="56"/>
      <c r="Z118" s="57"/>
      <c r="AA118" s="57"/>
      <c r="AB118" s="57"/>
      <c r="AC118" s="57"/>
      <c r="AD118" s="57"/>
      <c r="AE118" s="57"/>
      <c r="AF118" s="45"/>
      <c r="AG118" s="65"/>
      <c r="AH118" s="56"/>
      <c r="AI118" s="57"/>
      <c r="AJ118" s="57"/>
      <c r="AK118" s="57"/>
      <c r="AL118" s="57"/>
      <c r="AM118" s="57"/>
      <c r="AN118" s="57"/>
      <c r="AO118" s="45"/>
      <c r="AP118" s="65"/>
      <c r="AQ118" s="56"/>
      <c r="AR118" s="57"/>
      <c r="AS118" s="57"/>
      <c r="AT118" s="57"/>
      <c r="AU118" s="57"/>
      <c r="AV118" s="57"/>
      <c r="AW118" s="57"/>
      <c r="AX118" s="45"/>
      <c r="AY118" s="65"/>
      <c r="AZ118" s="56"/>
      <c r="BA118" s="55"/>
      <c r="BB118" s="55"/>
      <c r="BC118" s="55"/>
      <c r="BD118" s="55"/>
      <c r="BE118" s="55"/>
      <c r="BF118" s="55"/>
      <c r="BG118" s="45"/>
      <c r="BH118" s="65"/>
      <c r="BI118" s="55"/>
      <c r="BJ118" s="55"/>
      <c r="BK118" s="55"/>
      <c r="BL118" s="55"/>
      <c r="BM118" s="55"/>
      <c r="BN118" s="55"/>
      <c r="BO118" s="55"/>
      <c r="BP118" s="55"/>
      <c r="BQ118" s="65"/>
      <c r="BR118" s="55"/>
      <c r="BS118" s="55"/>
      <c r="BT118" s="55"/>
      <c r="BU118" s="55"/>
      <c r="BV118" s="55"/>
      <c r="BW118" s="55"/>
      <c r="BX118" s="55"/>
      <c r="BY118" s="55"/>
      <c r="BZ118" s="65"/>
      <c r="CA118" s="55"/>
      <c r="CB118" s="55"/>
      <c r="CC118" s="55"/>
      <c r="CD118" s="55"/>
      <c r="CE118" s="55"/>
      <c r="CF118" s="55"/>
      <c r="CG118" s="55"/>
      <c r="CH118" s="55"/>
      <c r="CI118" s="55"/>
    </row>
    <row r="119" spans="1:87">
      <c r="A119" s="12" t="str">
        <f>Roster!A119</f>
        <v/>
      </c>
      <c r="B119" s="28">
        <f>Roster!C119</f>
        <v>0</v>
      </c>
      <c r="C119" s="28" t="str">
        <f>IF(COUNTIFS(Table36103[[#This Row],[Continue Existing]:[Start New]], "TRUE")=0, "YES", "NO")</f>
        <v>YES</v>
      </c>
      <c r="D119" s="28" t="b">
        <f>COUNTIFS(Table36103[[#This Row],[Screening Results: Drug &amp; Alcohol Assessment 1]:[Other Reason 9]], "Continue with existing treatment services")&gt;0</f>
        <v>0</v>
      </c>
      <c r="E119" s="28" t="b">
        <f>COUNTIFS(Table36103[[#This Row],[Screening Results: Drug &amp; Alcohol Assessment 1]:[Other Reason 9]], "Start new service")&gt;0</f>
        <v>0</v>
      </c>
      <c r="F119" s="55"/>
      <c r="G119" s="56"/>
      <c r="H119" s="57"/>
      <c r="I119" s="57"/>
      <c r="J119" s="57"/>
      <c r="K119" s="57"/>
      <c r="L119" s="57"/>
      <c r="M119" s="57"/>
      <c r="N119" s="45"/>
      <c r="O119" s="58"/>
      <c r="P119" s="56"/>
      <c r="Q119" s="57"/>
      <c r="R119" s="57"/>
      <c r="S119" s="57"/>
      <c r="T119" s="57"/>
      <c r="U119" s="57"/>
      <c r="V119" s="57"/>
      <c r="W119" s="45"/>
      <c r="X119" s="65"/>
      <c r="Y119" s="56"/>
      <c r="Z119" s="57"/>
      <c r="AA119" s="57"/>
      <c r="AB119" s="57"/>
      <c r="AC119" s="57"/>
      <c r="AD119" s="57"/>
      <c r="AE119" s="57"/>
      <c r="AF119" s="45"/>
      <c r="AG119" s="65"/>
      <c r="AH119" s="56"/>
      <c r="AI119" s="57"/>
      <c r="AJ119" s="57"/>
      <c r="AK119" s="57"/>
      <c r="AL119" s="57"/>
      <c r="AM119" s="57"/>
      <c r="AN119" s="57"/>
      <c r="AO119" s="45"/>
      <c r="AP119" s="65"/>
      <c r="AQ119" s="56"/>
      <c r="AR119" s="57"/>
      <c r="AS119" s="57"/>
      <c r="AT119" s="57"/>
      <c r="AU119" s="57"/>
      <c r="AV119" s="57"/>
      <c r="AW119" s="57"/>
      <c r="AX119" s="45"/>
      <c r="AY119" s="65"/>
      <c r="AZ119" s="56"/>
      <c r="BA119" s="55"/>
      <c r="BB119" s="55"/>
      <c r="BC119" s="55"/>
      <c r="BD119" s="55"/>
      <c r="BE119" s="55"/>
      <c r="BF119" s="55"/>
      <c r="BG119" s="45"/>
      <c r="BH119" s="65"/>
      <c r="BI119" s="55"/>
      <c r="BJ119" s="55"/>
      <c r="BK119" s="55"/>
      <c r="BL119" s="55"/>
      <c r="BM119" s="55"/>
      <c r="BN119" s="55"/>
      <c r="BO119" s="55"/>
      <c r="BP119" s="55"/>
      <c r="BQ119" s="65"/>
      <c r="BR119" s="55"/>
      <c r="BS119" s="55"/>
      <c r="BT119" s="55"/>
      <c r="BU119" s="55"/>
      <c r="BV119" s="55"/>
      <c r="BW119" s="55"/>
      <c r="BX119" s="55"/>
      <c r="BY119" s="55"/>
      <c r="BZ119" s="65"/>
      <c r="CA119" s="55"/>
      <c r="CB119" s="55"/>
      <c r="CC119" s="55"/>
      <c r="CD119" s="55"/>
      <c r="CE119" s="55"/>
      <c r="CF119" s="55"/>
      <c r="CG119" s="55"/>
      <c r="CH119" s="55"/>
      <c r="CI119" s="55"/>
    </row>
    <row r="120" spans="1:87">
      <c r="A120" s="12" t="str">
        <f>Roster!A120</f>
        <v/>
      </c>
      <c r="B120" s="28">
        <f>Roster!C120</f>
        <v>0</v>
      </c>
      <c r="C120" s="28" t="str">
        <f>IF(COUNTIFS(Table36103[[#This Row],[Continue Existing]:[Start New]], "TRUE")=0, "YES", "NO")</f>
        <v>YES</v>
      </c>
      <c r="D120" s="28" t="b">
        <f>COUNTIFS(Table36103[[#This Row],[Screening Results: Drug &amp; Alcohol Assessment 1]:[Other Reason 9]], "Continue with existing treatment services")&gt;0</f>
        <v>0</v>
      </c>
      <c r="E120" s="28" t="b">
        <f>COUNTIFS(Table36103[[#This Row],[Screening Results: Drug &amp; Alcohol Assessment 1]:[Other Reason 9]], "Start new service")&gt;0</f>
        <v>0</v>
      </c>
      <c r="F120" s="55"/>
      <c r="G120" s="56"/>
      <c r="H120" s="57"/>
      <c r="I120" s="57"/>
      <c r="J120" s="57"/>
      <c r="K120" s="57"/>
      <c r="L120" s="57"/>
      <c r="M120" s="57"/>
      <c r="N120" s="45"/>
      <c r="O120" s="58"/>
      <c r="P120" s="56"/>
      <c r="Q120" s="57"/>
      <c r="R120" s="57"/>
      <c r="S120" s="57"/>
      <c r="T120" s="57"/>
      <c r="U120" s="57"/>
      <c r="V120" s="57"/>
      <c r="W120" s="45"/>
      <c r="X120" s="65"/>
      <c r="Y120" s="56"/>
      <c r="Z120" s="57"/>
      <c r="AA120" s="57"/>
      <c r="AB120" s="57"/>
      <c r="AC120" s="57"/>
      <c r="AD120" s="57"/>
      <c r="AE120" s="57"/>
      <c r="AF120" s="45"/>
      <c r="AG120" s="65"/>
      <c r="AH120" s="56"/>
      <c r="AI120" s="57"/>
      <c r="AJ120" s="57"/>
      <c r="AK120" s="57"/>
      <c r="AL120" s="57"/>
      <c r="AM120" s="57"/>
      <c r="AN120" s="57"/>
      <c r="AO120" s="45"/>
      <c r="AP120" s="65"/>
      <c r="AQ120" s="56"/>
      <c r="AR120" s="57"/>
      <c r="AS120" s="57"/>
      <c r="AT120" s="57"/>
      <c r="AU120" s="57"/>
      <c r="AV120" s="57"/>
      <c r="AW120" s="57"/>
      <c r="AX120" s="45"/>
      <c r="AY120" s="65"/>
      <c r="AZ120" s="56"/>
      <c r="BA120" s="55"/>
      <c r="BB120" s="55"/>
      <c r="BC120" s="55"/>
      <c r="BD120" s="55"/>
      <c r="BE120" s="55"/>
      <c r="BF120" s="55"/>
      <c r="BG120" s="45"/>
      <c r="BH120" s="65"/>
      <c r="BI120" s="55"/>
      <c r="BJ120" s="55"/>
      <c r="BK120" s="55"/>
      <c r="BL120" s="55"/>
      <c r="BM120" s="55"/>
      <c r="BN120" s="55"/>
      <c r="BO120" s="55"/>
      <c r="BP120" s="55"/>
      <c r="BQ120" s="65"/>
      <c r="BR120" s="55"/>
      <c r="BS120" s="55"/>
      <c r="BT120" s="55"/>
      <c r="BU120" s="55"/>
      <c r="BV120" s="55"/>
      <c r="BW120" s="55"/>
      <c r="BX120" s="55"/>
      <c r="BY120" s="55"/>
      <c r="BZ120" s="65"/>
      <c r="CA120" s="55"/>
      <c r="CB120" s="55"/>
      <c r="CC120" s="55"/>
      <c r="CD120" s="55"/>
      <c r="CE120" s="55"/>
      <c r="CF120" s="55"/>
      <c r="CG120" s="55"/>
      <c r="CH120" s="55"/>
      <c r="CI120" s="55"/>
    </row>
    <row r="121" spans="1:87">
      <c r="A121" s="12" t="str">
        <f>Roster!A121</f>
        <v/>
      </c>
      <c r="B121" s="28">
        <f>Roster!C121</f>
        <v>0</v>
      </c>
      <c r="C121" s="28" t="str">
        <f>IF(COUNTIFS(Table36103[[#This Row],[Continue Existing]:[Start New]], "TRUE")=0, "YES", "NO")</f>
        <v>YES</v>
      </c>
      <c r="D121" s="28" t="b">
        <f>COUNTIFS(Table36103[[#This Row],[Screening Results: Drug &amp; Alcohol Assessment 1]:[Other Reason 9]], "Continue with existing treatment services")&gt;0</f>
        <v>0</v>
      </c>
      <c r="E121" s="28" t="b">
        <f>COUNTIFS(Table36103[[#This Row],[Screening Results: Drug &amp; Alcohol Assessment 1]:[Other Reason 9]], "Start new service")&gt;0</f>
        <v>0</v>
      </c>
      <c r="F121" s="55"/>
      <c r="G121" s="56"/>
      <c r="H121" s="57"/>
      <c r="I121" s="57"/>
      <c r="J121" s="57"/>
      <c r="K121" s="57"/>
      <c r="L121" s="57"/>
      <c r="M121" s="57"/>
      <c r="N121" s="45"/>
      <c r="O121" s="58"/>
      <c r="P121" s="56"/>
      <c r="Q121" s="57"/>
      <c r="R121" s="57"/>
      <c r="S121" s="57"/>
      <c r="T121" s="57"/>
      <c r="U121" s="57"/>
      <c r="V121" s="57"/>
      <c r="W121" s="45"/>
      <c r="X121" s="65"/>
      <c r="Y121" s="56"/>
      <c r="Z121" s="57"/>
      <c r="AA121" s="57"/>
      <c r="AB121" s="57"/>
      <c r="AC121" s="57"/>
      <c r="AD121" s="57"/>
      <c r="AE121" s="57"/>
      <c r="AF121" s="45"/>
      <c r="AG121" s="65"/>
      <c r="AH121" s="56"/>
      <c r="AI121" s="57"/>
      <c r="AJ121" s="57"/>
      <c r="AK121" s="57"/>
      <c r="AL121" s="57"/>
      <c r="AM121" s="57"/>
      <c r="AN121" s="57"/>
      <c r="AO121" s="45"/>
      <c r="AP121" s="65"/>
      <c r="AQ121" s="56"/>
      <c r="AR121" s="57"/>
      <c r="AS121" s="57"/>
      <c r="AT121" s="57"/>
      <c r="AU121" s="57"/>
      <c r="AV121" s="57"/>
      <c r="AW121" s="57"/>
      <c r="AX121" s="45"/>
      <c r="AY121" s="65"/>
      <c r="AZ121" s="56"/>
      <c r="BA121" s="55"/>
      <c r="BB121" s="55"/>
      <c r="BC121" s="55"/>
      <c r="BD121" s="55"/>
      <c r="BE121" s="55"/>
      <c r="BF121" s="55"/>
      <c r="BG121" s="45"/>
      <c r="BH121" s="65"/>
      <c r="BI121" s="55"/>
      <c r="BJ121" s="55"/>
      <c r="BK121" s="55"/>
      <c r="BL121" s="55"/>
      <c r="BM121" s="55"/>
      <c r="BN121" s="55"/>
      <c r="BO121" s="55"/>
      <c r="BP121" s="55"/>
      <c r="BQ121" s="65"/>
      <c r="BR121" s="55"/>
      <c r="BS121" s="55"/>
      <c r="BT121" s="55"/>
      <c r="BU121" s="55"/>
      <c r="BV121" s="55"/>
      <c r="BW121" s="55"/>
      <c r="BX121" s="55"/>
      <c r="BY121" s="55"/>
      <c r="BZ121" s="65"/>
      <c r="CA121" s="55"/>
      <c r="CB121" s="55"/>
      <c r="CC121" s="55"/>
      <c r="CD121" s="55"/>
      <c r="CE121" s="55"/>
      <c r="CF121" s="55"/>
      <c r="CG121" s="55"/>
      <c r="CH121" s="55"/>
      <c r="CI121" s="55"/>
    </row>
    <row r="122" spans="1:87">
      <c r="A122" s="12" t="str">
        <f>Roster!A122</f>
        <v/>
      </c>
      <c r="B122" s="28">
        <f>Roster!C122</f>
        <v>0</v>
      </c>
      <c r="C122" s="28" t="str">
        <f>IF(COUNTIFS(Table36103[[#This Row],[Continue Existing]:[Start New]], "TRUE")=0, "YES", "NO")</f>
        <v>YES</v>
      </c>
      <c r="D122" s="28" t="b">
        <f>COUNTIFS(Table36103[[#This Row],[Screening Results: Drug &amp; Alcohol Assessment 1]:[Other Reason 9]], "Continue with existing treatment services")&gt;0</f>
        <v>0</v>
      </c>
      <c r="E122" s="28" t="b">
        <f>COUNTIFS(Table36103[[#This Row],[Screening Results: Drug &amp; Alcohol Assessment 1]:[Other Reason 9]], "Start new service")&gt;0</f>
        <v>0</v>
      </c>
      <c r="F122" s="55"/>
      <c r="G122" s="56"/>
      <c r="H122" s="57"/>
      <c r="I122" s="57"/>
      <c r="J122" s="57"/>
      <c r="K122" s="57"/>
      <c r="L122" s="57"/>
      <c r="M122" s="57"/>
      <c r="N122" s="45"/>
      <c r="O122" s="58"/>
      <c r="P122" s="56"/>
      <c r="Q122" s="57"/>
      <c r="R122" s="57"/>
      <c r="S122" s="57"/>
      <c r="T122" s="57"/>
      <c r="U122" s="57"/>
      <c r="V122" s="57"/>
      <c r="W122" s="45"/>
      <c r="X122" s="65"/>
      <c r="Y122" s="56"/>
      <c r="Z122" s="57"/>
      <c r="AA122" s="57"/>
      <c r="AB122" s="57"/>
      <c r="AC122" s="57"/>
      <c r="AD122" s="57"/>
      <c r="AE122" s="57"/>
      <c r="AF122" s="45"/>
      <c r="AG122" s="65"/>
      <c r="AH122" s="56"/>
      <c r="AI122" s="57"/>
      <c r="AJ122" s="57"/>
      <c r="AK122" s="57"/>
      <c r="AL122" s="57"/>
      <c r="AM122" s="57"/>
      <c r="AN122" s="57"/>
      <c r="AO122" s="45"/>
      <c r="AP122" s="65"/>
      <c r="AQ122" s="56"/>
      <c r="AR122" s="57"/>
      <c r="AS122" s="57"/>
      <c r="AT122" s="57"/>
      <c r="AU122" s="57"/>
      <c r="AV122" s="57"/>
      <c r="AW122" s="57"/>
      <c r="AX122" s="45"/>
      <c r="AY122" s="65"/>
      <c r="AZ122" s="56"/>
      <c r="BA122" s="55"/>
      <c r="BB122" s="55"/>
      <c r="BC122" s="55"/>
      <c r="BD122" s="55"/>
      <c r="BE122" s="55"/>
      <c r="BF122" s="55"/>
      <c r="BG122" s="45"/>
      <c r="BH122" s="65"/>
      <c r="BI122" s="55"/>
      <c r="BJ122" s="55"/>
      <c r="BK122" s="55"/>
      <c r="BL122" s="55"/>
      <c r="BM122" s="55"/>
      <c r="BN122" s="55"/>
      <c r="BO122" s="55"/>
      <c r="BP122" s="55"/>
      <c r="BQ122" s="65"/>
      <c r="BR122" s="55"/>
      <c r="BS122" s="55"/>
      <c r="BT122" s="55"/>
      <c r="BU122" s="55"/>
      <c r="BV122" s="55"/>
      <c r="BW122" s="55"/>
      <c r="BX122" s="55"/>
      <c r="BY122" s="55"/>
      <c r="BZ122" s="65"/>
      <c r="CA122" s="55"/>
      <c r="CB122" s="55"/>
      <c r="CC122" s="55"/>
      <c r="CD122" s="55"/>
      <c r="CE122" s="55"/>
      <c r="CF122" s="55"/>
      <c r="CG122" s="55"/>
      <c r="CH122" s="55"/>
      <c r="CI122" s="55"/>
    </row>
    <row r="123" spans="1:87">
      <c r="A123" s="12" t="str">
        <f>Roster!A123</f>
        <v/>
      </c>
      <c r="B123" s="28">
        <f>Roster!C123</f>
        <v>0</v>
      </c>
      <c r="C123" s="28" t="str">
        <f>IF(COUNTIFS(Table36103[[#This Row],[Continue Existing]:[Start New]], "TRUE")=0, "YES", "NO")</f>
        <v>YES</v>
      </c>
      <c r="D123" s="28" t="b">
        <f>COUNTIFS(Table36103[[#This Row],[Screening Results: Drug &amp; Alcohol Assessment 1]:[Other Reason 9]], "Continue with existing treatment services")&gt;0</f>
        <v>0</v>
      </c>
      <c r="E123" s="28" t="b">
        <f>COUNTIFS(Table36103[[#This Row],[Screening Results: Drug &amp; Alcohol Assessment 1]:[Other Reason 9]], "Start new service")&gt;0</f>
        <v>0</v>
      </c>
      <c r="F123" s="55"/>
      <c r="G123" s="56"/>
      <c r="H123" s="57"/>
      <c r="I123" s="57"/>
      <c r="J123" s="57"/>
      <c r="K123" s="57"/>
      <c r="L123" s="57"/>
      <c r="M123" s="57"/>
      <c r="N123" s="45"/>
      <c r="O123" s="58"/>
      <c r="P123" s="56"/>
      <c r="Q123" s="57"/>
      <c r="R123" s="57"/>
      <c r="S123" s="57"/>
      <c r="T123" s="57"/>
      <c r="U123" s="57"/>
      <c r="V123" s="57"/>
      <c r="W123" s="45"/>
      <c r="X123" s="65"/>
      <c r="Y123" s="56"/>
      <c r="Z123" s="57"/>
      <c r="AA123" s="57"/>
      <c r="AB123" s="57"/>
      <c r="AC123" s="57"/>
      <c r="AD123" s="57"/>
      <c r="AE123" s="57"/>
      <c r="AF123" s="45"/>
      <c r="AG123" s="65"/>
      <c r="AH123" s="56"/>
      <c r="AI123" s="57"/>
      <c r="AJ123" s="57"/>
      <c r="AK123" s="57"/>
      <c r="AL123" s="57"/>
      <c r="AM123" s="57"/>
      <c r="AN123" s="57"/>
      <c r="AO123" s="45"/>
      <c r="AP123" s="65"/>
      <c r="AQ123" s="56"/>
      <c r="AR123" s="57"/>
      <c r="AS123" s="57"/>
      <c r="AT123" s="57"/>
      <c r="AU123" s="57"/>
      <c r="AV123" s="57"/>
      <c r="AW123" s="57"/>
      <c r="AX123" s="45"/>
      <c r="AY123" s="65"/>
      <c r="AZ123" s="56"/>
      <c r="BA123" s="55"/>
      <c r="BB123" s="55"/>
      <c r="BC123" s="55"/>
      <c r="BD123" s="55"/>
      <c r="BE123" s="55"/>
      <c r="BF123" s="55"/>
      <c r="BG123" s="45"/>
      <c r="BH123" s="65"/>
      <c r="BI123" s="55"/>
      <c r="BJ123" s="55"/>
      <c r="BK123" s="55"/>
      <c r="BL123" s="55"/>
      <c r="BM123" s="55"/>
      <c r="BN123" s="55"/>
      <c r="BO123" s="55"/>
      <c r="BP123" s="55"/>
      <c r="BQ123" s="65"/>
      <c r="BR123" s="55"/>
      <c r="BS123" s="55"/>
      <c r="BT123" s="55"/>
      <c r="BU123" s="55"/>
      <c r="BV123" s="55"/>
      <c r="BW123" s="55"/>
      <c r="BX123" s="55"/>
      <c r="BY123" s="55"/>
      <c r="BZ123" s="65"/>
      <c r="CA123" s="55"/>
      <c r="CB123" s="55"/>
      <c r="CC123" s="55"/>
      <c r="CD123" s="55"/>
      <c r="CE123" s="55"/>
      <c r="CF123" s="55"/>
      <c r="CG123" s="55"/>
      <c r="CH123" s="55"/>
      <c r="CI123" s="55"/>
    </row>
    <row r="124" spans="1:87">
      <c r="A124" s="12" t="str">
        <f>Roster!A124</f>
        <v/>
      </c>
      <c r="B124" s="28">
        <f>Roster!C124</f>
        <v>0</v>
      </c>
      <c r="C124" s="28" t="str">
        <f>IF(COUNTIFS(Table36103[[#This Row],[Continue Existing]:[Start New]], "TRUE")=0, "YES", "NO")</f>
        <v>YES</v>
      </c>
      <c r="D124" s="28" t="b">
        <f>COUNTIFS(Table36103[[#This Row],[Screening Results: Drug &amp; Alcohol Assessment 1]:[Other Reason 9]], "Continue with existing treatment services")&gt;0</f>
        <v>0</v>
      </c>
      <c r="E124" s="28" t="b">
        <f>COUNTIFS(Table36103[[#This Row],[Screening Results: Drug &amp; Alcohol Assessment 1]:[Other Reason 9]], "Start new service")&gt;0</f>
        <v>0</v>
      </c>
      <c r="F124" s="55"/>
      <c r="G124" s="56"/>
      <c r="H124" s="57"/>
      <c r="I124" s="57"/>
      <c r="J124" s="57"/>
      <c r="K124" s="57"/>
      <c r="L124" s="57"/>
      <c r="M124" s="57"/>
      <c r="N124" s="45"/>
      <c r="O124" s="58"/>
      <c r="P124" s="56"/>
      <c r="Q124" s="57"/>
      <c r="R124" s="57"/>
      <c r="S124" s="57"/>
      <c r="T124" s="57"/>
      <c r="U124" s="57"/>
      <c r="V124" s="57"/>
      <c r="W124" s="45"/>
      <c r="X124" s="65"/>
      <c r="Y124" s="56"/>
      <c r="Z124" s="57"/>
      <c r="AA124" s="57"/>
      <c r="AB124" s="57"/>
      <c r="AC124" s="57"/>
      <c r="AD124" s="57"/>
      <c r="AE124" s="57"/>
      <c r="AF124" s="45"/>
      <c r="AG124" s="65"/>
      <c r="AH124" s="56"/>
      <c r="AI124" s="57"/>
      <c r="AJ124" s="57"/>
      <c r="AK124" s="57"/>
      <c r="AL124" s="57"/>
      <c r="AM124" s="57"/>
      <c r="AN124" s="57"/>
      <c r="AO124" s="45"/>
      <c r="AP124" s="65"/>
      <c r="AQ124" s="56"/>
      <c r="AR124" s="57"/>
      <c r="AS124" s="57"/>
      <c r="AT124" s="57"/>
      <c r="AU124" s="57"/>
      <c r="AV124" s="57"/>
      <c r="AW124" s="57"/>
      <c r="AX124" s="45"/>
      <c r="AY124" s="65"/>
      <c r="AZ124" s="56"/>
      <c r="BA124" s="55"/>
      <c r="BB124" s="55"/>
      <c r="BC124" s="55"/>
      <c r="BD124" s="55"/>
      <c r="BE124" s="55"/>
      <c r="BF124" s="55"/>
      <c r="BG124" s="45"/>
      <c r="BH124" s="65"/>
      <c r="BI124" s="55"/>
      <c r="BJ124" s="55"/>
      <c r="BK124" s="55"/>
      <c r="BL124" s="55"/>
      <c r="BM124" s="55"/>
      <c r="BN124" s="55"/>
      <c r="BO124" s="55"/>
      <c r="BP124" s="55"/>
      <c r="BQ124" s="65"/>
      <c r="BR124" s="55"/>
      <c r="BS124" s="55"/>
      <c r="BT124" s="55"/>
      <c r="BU124" s="55"/>
      <c r="BV124" s="55"/>
      <c r="BW124" s="55"/>
      <c r="BX124" s="55"/>
      <c r="BY124" s="55"/>
      <c r="BZ124" s="65"/>
      <c r="CA124" s="55"/>
      <c r="CB124" s="55"/>
      <c r="CC124" s="55"/>
      <c r="CD124" s="55"/>
      <c r="CE124" s="55"/>
      <c r="CF124" s="55"/>
      <c r="CG124" s="55"/>
      <c r="CH124" s="55"/>
      <c r="CI124" s="55"/>
    </row>
    <row r="125" spans="1:87">
      <c r="A125" s="12" t="str">
        <f>Roster!A125</f>
        <v/>
      </c>
      <c r="B125" s="28">
        <f>Roster!C125</f>
        <v>0</v>
      </c>
      <c r="C125" s="28" t="str">
        <f>IF(COUNTIFS(Table36103[[#This Row],[Continue Existing]:[Start New]], "TRUE")=0, "YES", "NO")</f>
        <v>YES</v>
      </c>
      <c r="D125" s="28" t="b">
        <f>COUNTIFS(Table36103[[#This Row],[Screening Results: Drug &amp; Alcohol Assessment 1]:[Other Reason 9]], "Continue with existing treatment services")&gt;0</f>
        <v>0</v>
      </c>
      <c r="E125" s="28" t="b">
        <f>COUNTIFS(Table36103[[#This Row],[Screening Results: Drug &amp; Alcohol Assessment 1]:[Other Reason 9]], "Start new service")&gt;0</f>
        <v>0</v>
      </c>
      <c r="F125" s="55"/>
      <c r="G125" s="56"/>
      <c r="H125" s="57"/>
      <c r="I125" s="57"/>
      <c r="J125" s="57"/>
      <c r="K125" s="57"/>
      <c r="L125" s="57"/>
      <c r="M125" s="57"/>
      <c r="N125" s="45"/>
      <c r="O125" s="58"/>
      <c r="P125" s="56"/>
      <c r="Q125" s="57"/>
      <c r="R125" s="57"/>
      <c r="S125" s="57"/>
      <c r="T125" s="57"/>
      <c r="U125" s="57"/>
      <c r="V125" s="57"/>
      <c r="W125" s="45"/>
      <c r="X125" s="65"/>
      <c r="Y125" s="56"/>
      <c r="Z125" s="57"/>
      <c r="AA125" s="57"/>
      <c r="AB125" s="57"/>
      <c r="AC125" s="57"/>
      <c r="AD125" s="57"/>
      <c r="AE125" s="57"/>
      <c r="AF125" s="45"/>
      <c r="AG125" s="65"/>
      <c r="AH125" s="56"/>
      <c r="AI125" s="57"/>
      <c r="AJ125" s="57"/>
      <c r="AK125" s="57"/>
      <c r="AL125" s="57"/>
      <c r="AM125" s="57"/>
      <c r="AN125" s="57"/>
      <c r="AO125" s="45"/>
      <c r="AP125" s="65"/>
      <c r="AQ125" s="56"/>
      <c r="AR125" s="57"/>
      <c r="AS125" s="57"/>
      <c r="AT125" s="57"/>
      <c r="AU125" s="57"/>
      <c r="AV125" s="57"/>
      <c r="AW125" s="57"/>
      <c r="AX125" s="45"/>
      <c r="AY125" s="65"/>
      <c r="AZ125" s="56"/>
      <c r="BA125" s="55"/>
      <c r="BB125" s="55"/>
      <c r="BC125" s="55"/>
      <c r="BD125" s="55"/>
      <c r="BE125" s="55"/>
      <c r="BF125" s="55"/>
      <c r="BG125" s="45"/>
      <c r="BH125" s="65"/>
      <c r="BI125" s="55"/>
      <c r="BJ125" s="55"/>
      <c r="BK125" s="55"/>
      <c r="BL125" s="55"/>
      <c r="BM125" s="55"/>
      <c r="BN125" s="55"/>
      <c r="BO125" s="55"/>
      <c r="BP125" s="55"/>
      <c r="BQ125" s="65"/>
      <c r="BR125" s="55"/>
      <c r="BS125" s="55"/>
      <c r="BT125" s="55"/>
      <c r="BU125" s="55"/>
      <c r="BV125" s="55"/>
      <c r="BW125" s="55"/>
      <c r="BX125" s="55"/>
      <c r="BY125" s="55"/>
      <c r="BZ125" s="65"/>
      <c r="CA125" s="55"/>
      <c r="CB125" s="55"/>
      <c r="CC125" s="55"/>
      <c r="CD125" s="55"/>
      <c r="CE125" s="55"/>
      <c r="CF125" s="55"/>
      <c r="CG125" s="55"/>
      <c r="CH125" s="55"/>
      <c r="CI125" s="55"/>
    </row>
    <row r="126" spans="1:87">
      <c r="A126" s="12" t="str">
        <f>Roster!A126</f>
        <v/>
      </c>
      <c r="B126" s="28">
        <f>Roster!C126</f>
        <v>0</v>
      </c>
      <c r="C126" s="28" t="str">
        <f>IF(COUNTIFS(Table36103[[#This Row],[Continue Existing]:[Start New]], "TRUE")=0, "YES", "NO")</f>
        <v>YES</v>
      </c>
      <c r="D126" s="28" t="b">
        <f>COUNTIFS(Table36103[[#This Row],[Screening Results: Drug &amp; Alcohol Assessment 1]:[Other Reason 9]], "Continue with existing treatment services")&gt;0</f>
        <v>0</v>
      </c>
      <c r="E126" s="28" t="b">
        <f>COUNTIFS(Table36103[[#This Row],[Screening Results: Drug &amp; Alcohol Assessment 1]:[Other Reason 9]], "Start new service")&gt;0</f>
        <v>0</v>
      </c>
      <c r="F126" s="55"/>
      <c r="G126" s="56"/>
      <c r="H126" s="57"/>
      <c r="I126" s="57"/>
      <c r="J126" s="57"/>
      <c r="K126" s="57"/>
      <c r="L126" s="57"/>
      <c r="M126" s="57"/>
      <c r="N126" s="45"/>
      <c r="O126" s="58"/>
      <c r="P126" s="56"/>
      <c r="Q126" s="57"/>
      <c r="R126" s="57"/>
      <c r="S126" s="57"/>
      <c r="T126" s="57"/>
      <c r="U126" s="57"/>
      <c r="V126" s="57"/>
      <c r="W126" s="45"/>
      <c r="X126" s="65"/>
      <c r="Y126" s="56"/>
      <c r="Z126" s="57"/>
      <c r="AA126" s="57"/>
      <c r="AB126" s="57"/>
      <c r="AC126" s="57"/>
      <c r="AD126" s="57"/>
      <c r="AE126" s="57"/>
      <c r="AF126" s="45"/>
      <c r="AG126" s="65"/>
      <c r="AH126" s="56"/>
      <c r="AI126" s="57"/>
      <c r="AJ126" s="57"/>
      <c r="AK126" s="57"/>
      <c r="AL126" s="57"/>
      <c r="AM126" s="57"/>
      <c r="AN126" s="57"/>
      <c r="AO126" s="45"/>
      <c r="AP126" s="65"/>
      <c r="AQ126" s="56"/>
      <c r="AR126" s="57"/>
      <c r="AS126" s="57"/>
      <c r="AT126" s="57"/>
      <c r="AU126" s="57"/>
      <c r="AV126" s="57"/>
      <c r="AW126" s="57"/>
      <c r="AX126" s="45"/>
      <c r="AY126" s="65"/>
      <c r="AZ126" s="56"/>
      <c r="BA126" s="55"/>
      <c r="BB126" s="55"/>
      <c r="BC126" s="55"/>
      <c r="BD126" s="55"/>
      <c r="BE126" s="55"/>
      <c r="BF126" s="55"/>
      <c r="BG126" s="45"/>
      <c r="BH126" s="65"/>
      <c r="BI126" s="55"/>
      <c r="BJ126" s="55"/>
      <c r="BK126" s="55"/>
      <c r="BL126" s="55"/>
      <c r="BM126" s="55"/>
      <c r="BN126" s="55"/>
      <c r="BO126" s="55"/>
      <c r="BP126" s="55"/>
      <c r="BQ126" s="65"/>
      <c r="BR126" s="55"/>
      <c r="BS126" s="55"/>
      <c r="BT126" s="55"/>
      <c r="BU126" s="55"/>
      <c r="BV126" s="55"/>
      <c r="BW126" s="55"/>
      <c r="BX126" s="55"/>
      <c r="BY126" s="55"/>
      <c r="BZ126" s="65"/>
      <c r="CA126" s="55"/>
      <c r="CB126" s="55"/>
      <c r="CC126" s="55"/>
      <c r="CD126" s="55"/>
      <c r="CE126" s="55"/>
      <c r="CF126" s="55"/>
      <c r="CG126" s="55"/>
      <c r="CH126" s="55"/>
      <c r="CI126" s="55"/>
    </row>
    <row r="127" spans="1:87">
      <c r="A127" s="12" t="str">
        <f>Roster!A127</f>
        <v/>
      </c>
      <c r="B127" s="28">
        <f>Roster!C127</f>
        <v>0</v>
      </c>
      <c r="C127" s="28" t="str">
        <f>IF(COUNTIFS(Table36103[[#This Row],[Continue Existing]:[Start New]], "TRUE")=0, "YES", "NO")</f>
        <v>YES</v>
      </c>
      <c r="D127" s="28" t="b">
        <f>COUNTIFS(Table36103[[#This Row],[Screening Results: Drug &amp; Alcohol Assessment 1]:[Other Reason 9]], "Continue with existing treatment services")&gt;0</f>
        <v>0</v>
      </c>
      <c r="E127" s="28" t="b">
        <f>COUNTIFS(Table36103[[#This Row],[Screening Results: Drug &amp; Alcohol Assessment 1]:[Other Reason 9]], "Start new service")&gt;0</f>
        <v>0</v>
      </c>
      <c r="F127" s="55"/>
      <c r="G127" s="56"/>
      <c r="H127" s="57"/>
      <c r="I127" s="57"/>
      <c r="J127" s="57"/>
      <c r="K127" s="57"/>
      <c r="L127" s="57"/>
      <c r="M127" s="57"/>
      <c r="N127" s="45"/>
      <c r="O127" s="58"/>
      <c r="P127" s="56"/>
      <c r="Q127" s="57"/>
      <c r="R127" s="57"/>
      <c r="S127" s="57"/>
      <c r="T127" s="57"/>
      <c r="U127" s="57"/>
      <c r="V127" s="57"/>
      <c r="W127" s="45"/>
      <c r="X127" s="65"/>
      <c r="Y127" s="56"/>
      <c r="Z127" s="57"/>
      <c r="AA127" s="57"/>
      <c r="AB127" s="57"/>
      <c r="AC127" s="57"/>
      <c r="AD127" s="57"/>
      <c r="AE127" s="57"/>
      <c r="AF127" s="45"/>
      <c r="AG127" s="65"/>
      <c r="AH127" s="56"/>
      <c r="AI127" s="57"/>
      <c r="AJ127" s="57"/>
      <c r="AK127" s="57"/>
      <c r="AL127" s="57"/>
      <c r="AM127" s="57"/>
      <c r="AN127" s="57"/>
      <c r="AO127" s="45"/>
      <c r="AP127" s="65"/>
      <c r="AQ127" s="56"/>
      <c r="AR127" s="57"/>
      <c r="AS127" s="57"/>
      <c r="AT127" s="57"/>
      <c r="AU127" s="57"/>
      <c r="AV127" s="57"/>
      <c r="AW127" s="57"/>
      <c r="AX127" s="45"/>
      <c r="AY127" s="65"/>
      <c r="AZ127" s="56"/>
      <c r="BA127" s="55"/>
      <c r="BB127" s="55"/>
      <c r="BC127" s="55"/>
      <c r="BD127" s="55"/>
      <c r="BE127" s="55"/>
      <c r="BF127" s="55"/>
      <c r="BG127" s="45"/>
      <c r="BH127" s="65"/>
      <c r="BI127" s="55"/>
      <c r="BJ127" s="55"/>
      <c r="BK127" s="55"/>
      <c r="BL127" s="55"/>
      <c r="BM127" s="55"/>
      <c r="BN127" s="55"/>
      <c r="BO127" s="55"/>
      <c r="BP127" s="55"/>
      <c r="BQ127" s="65"/>
      <c r="BR127" s="55"/>
      <c r="BS127" s="55"/>
      <c r="BT127" s="55"/>
      <c r="BU127" s="55"/>
      <c r="BV127" s="55"/>
      <c r="BW127" s="55"/>
      <c r="BX127" s="55"/>
      <c r="BY127" s="55"/>
      <c r="BZ127" s="65"/>
      <c r="CA127" s="55"/>
      <c r="CB127" s="55"/>
      <c r="CC127" s="55"/>
      <c r="CD127" s="55"/>
      <c r="CE127" s="55"/>
      <c r="CF127" s="55"/>
      <c r="CG127" s="55"/>
      <c r="CH127" s="55"/>
      <c r="CI127" s="55"/>
    </row>
    <row r="128" spans="1:87">
      <c r="A128" s="12" t="str">
        <f>Roster!A128</f>
        <v/>
      </c>
      <c r="B128" s="28">
        <f>Roster!C128</f>
        <v>0</v>
      </c>
      <c r="C128" s="28" t="str">
        <f>IF(COUNTIFS(Table36103[[#This Row],[Continue Existing]:[Start New]], "TRUE")=0, "YES", "NO")</f>
        <v>YES</v>
      </c>
      <c r="D128" s="28" t="b">
        <f>COUNTIFS(Table36103[[#This Row],[Screening Results: Drug &amp; Alcohol Assessment 1]:[Other Reason 9]], "Continue with existing treatment services")&gt;0</f>
        <v>0</v>
      </c>
      <c r="E128" s="28" t="b">
        <f>COUNTIFS(Table36103[[#This Row],[Screening Results: Drug &amp; Alcohol Assessment 1]:[Other Reason 9]], "Start new service")&gt;0</f>
        <v>0</v>
      </c>
      <c r="F128" s="55"/>
      <c r="G128" s="56"/>
      <c r="H128" s="57"/>
      <c r="I128" s="57"/>
      <c r="J128" s="57"/>
      <c r="K128" s="57"/>
      <c r="L128" s="57"/>
      <c r="M128" s="57"/>
      <c r="N128" s="45"/>
      <c r="O128" s="58"/>
      <c r="P128" s="56"/>
      <c r="Q128" s="57"/>
      <c r="R128" s="57"/>
      <c r="S128" s="57"/>
      <c r="T128" s="57"/>
      <c r="U128" s="57"/>
      <c r="V128" s="57"/>
      <c r="W128" s="45"/>
      <c r="X128" s="65"/>
      <c r="Y128" s="56"/>
      <c r="Z128" s="57"/>
      <c r="AA128" s="57"/>
      <c r="AB128" s="57"/>
      <c r="AC128" s="57"/>
      <c r="AD128" s="57"/>
      <c r="AE128" s="57"/>
      <c r="AF128" s="45"/>
      <c r="AG128" s="65"/>
      <c r="AH128" s="56"/>
      <c r="AI128" s="57"/>
      <c r="AJ128" s="57"/>
      <c r="AK128" s="57"/>
      <c r="AL128" s="57"/>
      <c r="AM128" s="57"/>
      <c r="AN128" s="57"/>
      <c r="AO128" s="45"/>
      <c r="AP128" s="65"/>
      <c r="AQ128" s="56"/>
      <c r="AR128" s="57"/>
      <c r="AS128" s="57"/>
      <c r="AT128" s="57"/>
      <c r="AU128" s="57"/>
      <c r="AV128" s="57"/>
      <c r="AW128" s="57"/>
      <c r="AX128" s="45"/>
      <c r="AY128" s="65"/>
      <c r="AZ128" s="56"/>
      <c r="BA128" s="55"/>
      <c r="BB128" s="55"/>
      <c r="BC128" s="55"/>
      <c r="BD128" s="55"/>
      <c r="BE128" s="55"/>
      <c r="BF128" s="55"/>
      <c r="BG128" s="45"/>
      <c r="BH128" s="65"/>
      <c r="BI128" s="55"/>
      <c r="BJ128" s="55"/>
      <c r="BK128" s="55"/>
      <c r="BL128" s="55"/>
      <c r="BM128" s="55"/>
      <c r="BN128" s="55"/>
      <c r="BO128" s="55"/>
      <c r="BP128" s="55"/>
      <c r="BQ128" s="65"/>
      <c r="BR128" s="55"/>
      <c r="BS128" s="55"/>
      <c r="BT128" s="55"/>
      <c r="BU128" s="55"/>
      <c r="BV128" s="55"/>
      <c r="BW128" s="55"/>
      <c r="BX128" s="55"/>
      <c r="BY128" s="55"/>
      <c r="BZ128" s="65"/>
      <c r="CA128" s="55"/>
      <c r="CB128" s="55"/>
      <c r="CC128" s="55"/>
      <c r="CD128" s="55"/>
      <c r="CE128" s="55"/>
      <c r="CF128" s="55"/>
      <c r="CG128" s="55"/>
      <c r="CH128" s="55"/>
      <c r="CI128" s="55"/>
    </row>
    <row r="129" spans="1:87">
      <c r="A129" s="12" t="str">
        <f>Roster!A129</f>
        <v/>
      </c>
      <c r="B129" s="28">
        <f>Roster!C129</f>
        <v>0</v>
      </c>
      <c r="C129" s="28" t="str">
        <f>IF(COUNTIFS(Table36103[[#This Row],[Continue Existing]:[Start New]], "TRUE")=0, "YES", "NO")</f>
        <v>YES</v>
      </c>
      <c r="D129" s="28" t="b">
        <f>COUNTIFS(Table36103[[#This Row],[Screening Results: Drug &amp; Alcohol Assessment 1]:[Other Reason 9]], "Continue with existing treatment services")&gt;0</f>
        <v>0</v>
      </c>
      <c r="E129" s="28" t="b">
        <f>COUNTIFS(Table36103[[#This Row],[Screening Results: Drug &amp; Alcohol Assessment 1]:[Other Reason 9]], "Start new service")&gt;0</f>
        <v>0</v>
      </c>
      <c r="F129" s="55"/>
      <c r="G129" s="56"/>
      <c r="H129" s="57"/>
      <c r="I129" s="57"/>
      <c r="J129" s="57"/>
      <c r="K129" s="57"/>
      <c r="L129" s="57"/>
      <c r="M129" s="57"/>
      <c r="N129" s="45"/>
      <c r="O129" s="58"/>
      <c r="P129" s="56"/>
      <c r="Q129" s="57"/>
      <c r="R129" s="57"/>
      <c r="S129" s="57"/>
      <c r="T129" s="57"/>
      <c r="U129" s="57"/>
      <c r="V129" s="57"/>
      <c r="W129" s="45"/>
      <c r="X129" s="65"/>
      <c r="Y129" s="56"/>
      <c r="Z129" s="57"/>
      <c r="AA129" s="57"/>
      <c r="AB129" s="57"/>
      <c r="AC129" s="57"/>
      <c r="AD129" s="57"/>
      <c r="AE129" s="57"/>
      <c r="AF129" s="45"/>
      <c r="AG129" s="65"/>
      <c r="AH129" s="56"/>
      <c r="AI129" s="57"/>
      <c r="AJ129" s="57"/>
      <c r="AK129" s="57"/>
      <c r="AL129" s="57"/>
      <c r="AM129" s="57"/>
      <c r="AN129" s="57"/>
      <c r="AO129" s="45"/>
      <c r="AP129" s="65"/>
      <c r="AQ129" s="56"/>
      <c r="AR129" s="57"/>
      <c r="AS129" s="57"/>
      <c r="AT129" s="57"/>
      <c r="AU129" s="57"/>
      <c r="AV129" s="57"/>
      <c r="AW129" s="57"/>
      <c r="AX129" s="45"/>
      <c r="AY129" s="65"/>
      <c r="AZ129" s="56"/>
      <c r="BA129" s="55"/>
      <c r="BB129" s="55"/>
      <c r="BC129" s="55"/>
      <c r="BD129" s="55"/>
      <c r="BE129" s="55"/>
      <c r="BF129" s="55"/>
      <c r="BG129" s="45"/>
      <c r="BH129" s="65"/>
      <c r="BI129" s="55"/>
      <c r="BJ129" s="55"/>
      <c r="BK129" s="55"/>
      <c r="BL129" s="55"/>
      <c r="BM129" s="55"/>
      <c r="BN129" s="55"/>
      <c r="BO129" s="55"/>
      <c r="BP129" s="55"/>
      <c r="BQ129" s="65"/>
      <c r="BR129" s="55"/>
      <c r="BS129" s="55"/>
      <c r="BT129" s="55"/>
      <c r="BU129" s="55"/>
      <c r="BV129" s="55"/>
      <c r="BW129" s="55"/>
      <c r="BX129" s="55"/>
      <c r="BY129" s="55"/>
      <c r="BZ129" s="65"/>
      <c r="CA129" s="55"/>
      <c r="CB129" s="55"/>
      <c r="CC129" s="55"/>
      <c r="CD129" s="55"/>
      <c r="CE129" s="55"/>
      <c r="CF129" s="55"/>
      <c r="CG129" s="55"/>
      <c r="CH129" s="55"/>
      <c r="CI129" s="55"/>
    </row>
    <row r="130" spans="1:87">
      <c r="A130" s="12" t="str">
        <f>Roster!A130</f>
        <v/>
      </c>
      <c r="B130" s="28">
        <f>Roster!C130</f>
        <v>0</v>
      </c>
      <c r="C130" s="28" t="str">
        <f>IF(COUNTIFS(Table36103[[#This Row],[Continue Existing]:[Start New]], "TRUE")=0, "YES", "NO")</f>
        <v>YES</v>
      </c>
      <c r="D130" s="28" t="b">
        <f>COUNTIFS(Table36103[[#This Row],[Screening Results: Drug &amp; Alcohol Assessment 1]:[Other Reason 9]], "Continue with existing treatment services")&gt;0</f>
        <v>0</v>
      </c>
      <c r="E130" s="28" t="b">
        <f>COUNTIFS(Table36103[[#This Row],[Screening Results: Drug &amp; Alcohol Assessment 1]:[Other Reason 9]], "Start new service")&gt;0</f>
        <v>0</v>
      </c>
      <c r="F130" s="55"/>
      <c r="G130" s="56"/>
      <c r="H130" s="57"/>
      <c r="I130" s="57"/>
      <c r="J130" s="57"/>
      <c r="K130" s="57"/>
      <c r="L130" s="57"/>
      <c r="M130" s="57"/>
      <c r="N130" s="45"/>
      <c r="O130" s="58"/>
      <c r="P130" s="56"/>
      <c r="Q130" s="57"/>
      <c r="R130" s="57"/>
      <c r="S130" s="57"/>
      <c r="T130" s="57"/>
      <c r="U130" s="57"/>
      <c r="V130" s="57"/>
      <c r="W130" s="45"/>
      <c r="X130" s="65"/>
      <c r="Y130" s="56"/>
      <c r="Z130" s="57"/>
      <c r="AA130" s="57"/>
      <c r="AB130" s="57"/>
      <c r="AC130" s="57"/>
      <c r="AD130" s="57"/>
      <c r="AE130" s="57"/>
      <c r="AF130" s="45"/>
      <c r="AG130" s="65"/>
      <c r="AH130" s="56"/>
      <c r="AI130" s="57"/>
      <c r="AJ130" s="57"/>
      <c r="AK130" s="57"/>
      <c r="AL130" s="57"/>
      <c r="AM130" s="57"/>
      <c r="AN130" s="57"/>
      <c r="AO130" s="45"/>
      <c r="AP130" s="65"/>
      <c r="AQ130" s="56"/>
      <c r="AR130" s="57"/>
      <c r="AS130" s="57"/>
      <c r="AT130" s="57"/>
      <c r="AU130" s="57"/>
      <c r="AV130" s="57"/>
      <c r="AW130" s="57"/>
      <c r="AX130" s="45"/>
      <c r="AY130" s="65"/>
      <c r="AZ130" s="56"/>
      <c r="BA130" s="55"/>
      <c r="BB130" s="55"/>
      <c r="BC130" s="55"/>
      <c r="BD130" s="55"/>
      <c r="BE130" s="55"/>
      <c r="BF130" s="55"/>
      <c r="BG130" s="45"/>
      <c r="BH130" s="65"/>
      <c r="BI130" s="55"/>
      <c r="BJ130" s="55"/>
      <c r="BK130" s="55"/>
      <c r="BL130" s="55"/>
      <c r="BM130" s="55"/>
      <c r="BN130" s="55"/>
      <c r="BO130" s="55"/>
      <c r="BP130" s="55"/>
      <c r="BQ130" s="65"/>
      <c r="BR130" s="55"/>
      <c r="BS130" s="55"/>
      <c r="BT130" s="55"/>
      <c r="BU130" s="55"/>
      <c r="BV130" s="55"/>
      <c r="BW130" s="55"/>
      <c r="BX130" s="55"/>
      <c r="BY130" s="55"/>
      <c r="BZ130" s="65"/>
      <c r="CA130" s="55"/>
      <c r="CB130" s="55"/>
      <c r="CC130" s="55"/>
      <c r="CD130" s="55"/>
      <c r="CE130" s="55"/>
      <c r="CF130" s="55"/>
      <c r="CG130" s="55"/>
      <c r="CH130" s="55"/>
      <c r="CI130" s="55"/>
    </row>
    <row r="131" spans="1:87">
      <c r="A131" s="12" t="str">
        <f>Roster!A131</f>
        <v/>
      </c>
      <c r="B131" s="28">
        <f>Roster!C131</f>
        <v>0</v>
      </c>
      <c r="C131" s="28" t="str">
        <f>IF(COUNTIFS(Table36103[[#This Row],[Continue Existing]:[Start New]], "TRUE")=0, "YES", "NO")</f>
        <v>YES</v>
      </c>
      <c r="D131" s="28" t="b">
        <f>COUNTIFS(Table36103[[#This Row],[Screening Results: Drug &amp; Alcohol Assessment 1]:[Other Reason 9]], "Continue with existing treatment services")&gt;0</f>
        <v>0</v>
      </c>
      <c r="E131" s="28" t="b">
        <f>COUNTIFS(Table36103[[#This Row],[Screening Results: Drug &amp; Alcohol Assessment 1]:[Other Reason 9]], "Start new service")&gt;0</f>
        <v>0</v>
      </c>
      <c r="F131" s="55"/>
      <c r="G131" s="56"/>
      <c r="H131" s="57"/>
      <c r="I131" s="57"/>
      <c r="J131" s="57"/>
      <c r="K131" s="57"/>
      <c r="L131" s="57"/>
      <c r="M131" s="57"/>
      <c r="N131" s="45"/>
      <c r="O131" s="58"/>
      <c r="P131" s="56"/>
      <c r="Q131" s="57"/>
      <c r="R131" s="57"/>
      <c r="S131" s="57"/>
      <c r="T131" s="57"/>
      <c r="U131" s="57"/>
      <c r="V131" s="57"/>
      <c r="W131" s="45"/>
      <c r="X131" s="65"/>
      <c r="Y131" s="56"/>
      <c r="Z131" s="57"/>
      <c r="AA131" s="57"/>
      <c r="AB131" s="57"/>
      <c r="AC131" s="57"/>
      <c r="AD131" s="57"/>
      <c r="AE131" s="57"/>
      <c r="AF131" s="45"/>
      <c r="AG131" s="65"/>
      <c r="AH131" s="56"/>
      <c r="AI131" s="57"/>
      <c r="AJ131" s="57"/>
      <c r="AK131" s="57"/>
      <c r="AL131" s="57"/>
      <c r="AM131" s="57"/>
      <c r="AN131" s="57"/>
      <c r="AO131" s="45"/>
      <c r="AP131" s="65"/>
      <c r="AQ131" s="56"/>
      <c r="AR131" s="57"/>
      <c r="AS131" s="57"/>
      <c r="AT131" s="57"/>
      <c r="AU131" s="57"/>
      <c r="AV131" s="57"/>
      <c r="AW131" s="57"/>
      <c r="AX131" s="45"/>
      <c r="AY131" s="65"/>
      <c r="AZ131" s="56"/>
      <c r="BA131" s="55"/>
      <c r="BB131" s="55"/>
      <c r="BC131" s="55"/>
      <c r="BD131" s="55"/>
      <c r="BE131" s="55"/>
      <c r="BF131" s="55"/>
      <c r="BG131" s="45"/>
      <c r="BH131" s="65"/>
      <c r="BI131" s="55"/>
      <c r="BJ131" s="55"/>
      <c r="BK131" s="55"/>
      <c r="BL131" s="55"/>
      <c r="BM131" s="55"/>
      <c r="BN131" s="55"/>
      <c r="BO131" s="55"/>
      <c r="BP131" s="55"/>
      <c r="BQ131" s="65"/>
      <c r="BR131" s="55"/>
      <c r="BS131" s="55"/>
      <c r="BT131" s="55"/>
      <c r="BU131" s="55"/>
      <c r="BV131" s="55"/>
      <c r="BW131" s="55"/>
      <c r="BX131" s="55"/>
      <c r="BY131" s="55"/>
      <c r="BZ131" s="65"/>
      <c r="CA131" s="55"/>
      <c r="CB131" s="55"/>
      <c r="CC131" s="55"/>
      <c r="CD131" s="55"/>
      <c r="CE131" s="55"/>
      <c r="CF131" s="55"/>
      <c r="CG131" s="55"/>
      <c r="CH131" s="55"/>
      <c r="CI131" s="55"/>
    </row>
    <row r="132" spans="1:87">
      <c r="A132" s="12" t="str">
        <f>Roster!A132</f>
        <v/>
      </c>
      <c r="B132" s="28">
        <f>Roster!C132</f>
        <v>0</v>
      </c>
      <c r="C132" s="28" t="str">
        <f>IF(COUNTIFS(Table36103[[#This Row],[Continue Existing]:[Start New]], "TRUE")=0, "YES", "NO")</f>
        <v>YES</v>
      </c>
      <c r="D132" s="28" t="b">
        <f>COUNTIFS(Table36103[[#This Row],[Screening Results: Drug &amp; Alcohol Assessment 1]:[Other Reason 9]], "Continue with existing treatment services")&gt;0</f>
        <v>0</v>
      </c>
      <c r="E132" s="28" t="b">
        <f>COUNTIFS(Table36103[[#This Row],[Screening Results: Drug &amp; Alcohol Assessment 1]:[Other Reason 9]], "Start new service")&gt;0</f>
        <v>0</v>
      </c>
      <c r="F132" s="55"/>
      <c r="G132" s="56"/>
      <c r="H132" s="57"/>
      <c r="I132" s="57"/>
      <c r="J132" s="57"/>
      <c r="K132" s="57"/>
      <c r="L132" s="57"/>
      <c r="M132" s="57"/>
      <c r="N132" s="45"/>
      <c r="O132" s="58"/>
      <c r="P132" s="56"/>
      <c r="Q132" s="57"/>
      <c r="R132" s="57"/>
      <c r="S132" s="57"/>
      <c r="T132" s="57"/>
      <c r="U132" s="57"/>
      <c r="V132" s="57"/>
      <c r="W132" s="45"/>
      <c r="X132" s="65"/>
      <c r="Y132" s="56"/>
      <c r="Z132" s="57"/>
      <c r="AA132" s="57"/>
      <c r="AB132" s="57"/>
      <c r="AC132" s="57"/>
      <c r="AD132" s="57"/>
      <c r="AE132" s="57"/>
      <c r="AF132" s="45"/>
      <c r="AG132" s="65"/>
      <c r="AH132" s="56"/>
      <c r="AI132" s="57"/>
      <c r="AJ132" s="57"/>
      <c r="AK132" s="57"/>
      <c r="AL132" s="57"/>
      <c r="AM132" s="57"/>
      <c r="AN132" s="57"/>
      <c r="AO132" s="45"/>
      <c r="AP132" s="65"/>
      <c r="AQ132" s="56"/>
      <c r="AR132" s="57"/>
      <c r="AS132" s="57"/>
      <c r="AT132" s="57"/>
      <c r="AU132" s="57"/>
      <c r="AV132" s="57"/>
      <c r="AW132" s="57"/>
      <c r="AX132" s="45"/>
      <c r="AY132" s="65"/>
      <c r="AZ132" s="56"/>
      <c r="BA132" s="55"/>
      <c r="BB132" s="55"/>
      <c r="BC132" s="55"/>
      <c r="BD132" s="55"/>
      <c r="BE132" s="55"/>
      <c r="BF132" s="55"/>
      <c r="BG132" s="45"/>
      <c r="BH132" s="65"/>
      <c r="BI132" s="55"/>
      <c r="BJ132" s="55"/>
      <c r="BK132" s="55"/>
      <c r="BL132" s="55"/>
      <c r="BM132" s="55"/>
      <c r="BN132" s="55"/>
      <c r="BO132" s="55"/>
      <c r="BP132" s="55"/>
      <c r="BQ132" s="65"/>
      <c r="BR132" s="55"/>
      <c r="BS132" s="55"/>
      <c r="BT132" s="55"/>
      <c r="BU132" s="55"/>
      <c r="BV132" s="55"/>
      <c r="BW132" s="55"/>
      <c r="BX132" s="55"/>
      <c r="BY132" s="55"/>
      <c r="BZ132" s="65"/>
      <c r="CA132" s="55"/>
      <c r="CB132" s="55"/>
      <c r="CC132" s="55"/>
      <c r="CD132" s="55"/>
      <c r="CE132" s="55"/>
      <c r="CF132" s="55"/>
      <c r="CG132" s="55"/>
      <c r="CH132" s="55"/>
      <c r="CI132" s="55"/>
    </row>
    <row r="133" spans="1:87">
      <c r="A133" s="12" t="str">
        <f>Roster!A133</f>
        <v/>
      </c>
      <c r="B133" s="28">
        <f>Roster!C133</f>
        <v>0</v>
      </c>
      <c r="C133" s="28" t="str">
        <f>IF(COUNTIFS(Table36103[[#This Row],[Continue Existing]:[Start New]], "TRUE")=0, "YES", "NO")</f>
        <v>YES</v>
      </c>
      <c r="D133" s="28" t="b">
        <f>COUNTIFS(Table36103[[#This Row],[Screening Results: Drug &amp; Alcohol Assessment 1]:[Other Reason 9]], "Continue with existing treatment services")&gt;0</f>
        <v>0</v>
      </c>
      <c r="E133" s="28" t="b">
        <f>COUNTIFS(Table36103[[#This Row],[Screening Results: Drug &amp; Alcohol Assessment 1]:[Other Reason 9]], "Start new service")&gt;0</f>
        <v>0</v>
      </c>
      <c r="F133" s="55"/>
      <c r="G133" s="56"/>
      <c r="H133" s="57"/>
      <c r="I133" s="57"/>
      <c r="J133" s="57"/>
      <c r="K133" s="57"/>
      <c r="L133" s="57"/>
      <c r="M133" s="57"/>
      <c r="N133" s="45"/>
      <c r="O133" s="58"/>
      <c r="P133" s="56"/>
      <c r="Q133" s="57"/>
      <c r="R133" s="57"/>
      <c r="S133" s="57"/>
      <c r="T133" s="57"/>
      <c r="U133" s="57"/>
      <c r="V133" s="57"/>
      <c r="W133" s="45"/>
      <c r="X133" s="65"/>
      <c r="Y133" s="56"/>
      <c r="Z133" s="57"/>
      <c r="AA133" s="57"/>
      <c r="AB133" s="57"/>
      <c r="AC133" s="57"/>
      <c r="AD133" s="57"/>
      <c r="AE133" s="57"/>
      <c r="AF133" s="45"/>
      <c r="AG133" s="65"/>
      <c r="AH133" s="56"/>
      <c r="AI133" s="57"/>
      <c r="AJ133" s="57"/>
      <c r="AK133" s="57"/>
      <c r="AL133" s="57"/>
      <c r="AM133" s="57"/>
      <c r="AN133" s="57"/>
      <c r="AO133" s="45"/>
      <c r="AP133" s="65"/>
      <c r="AQ133" s="56"/>
      <c r="AR133" s="57"/>
      <c r="AS133" s="57"/>
      <c r="AT133" s="57"/>
      <c r="AU133" s="57"/>
      <c r="AV133" s="57"/>
      <c r="AW133" s="57"/>
      <c r="AX133" s="45"/>
      <c r="AY133" s="65"/>
      <c r="AZ133" s="56"/>
      <c r="BA133" s="55"/>
      <c r="BB133" s="55"/>
      <c r="BC133" s="55"/>
      <c r="BD133" s="55"/>
      <c r="BE133" s="55"/>
      <c r="BF133" s="55"/>
      <c r="BG133" s="45"/>
      <c r="BH133" s="65"/>
      <c r="BI133" s="55"/>
      <c r="BJ133" s="55"/>
      <c r="BK133" s="55"/>
      <c r="BL133" s="55"/>
      <c r="BM133" s="55"/>
      <c r="BN133" s="55"/>
      <c r="BO133" s="55"/>
      <c r="BP133" s="55"/>
      <c r="BQ133" s="65"/>
      <c r="BR133" s="55"/>
      <c r="BS133" s="55"/>
      <c r="BT133" s="55"/>
      <c r="BU133" s="55"/>
      <c r="BV133" s="55"/>
      <c r="BW133" s="55"/>
      <c r="BX133" s="55"/>
      <c r="BY133" s="55"/>
      <c r="BZ133" s="65"/>
      <c r="CA133" s="55"/>
      <c r="CB133" s="55"/>
      <c r="CC133" s="55"/>
      <c r="CD133" s="55"/>
      <c r="CE133" s="55"/>
      <c r="CF133" s="55"/>
      <c r="CG133" s="55"/>
      <c r="CH133" s="55"/>
      <c r="CI133" s="55"/>
    </row>
    <row r="134" spans="1:87">
      <c r="A134" s="12" t="str">
        <f>Roster!A134</f>
        <v/>
      </c>
      <c r="B134" s="28">
        <f>Roster!C134</f>
        <v>0</v>
      </c>
      <c r="C134" s="28" t="str">
        <f>IF(COUNTIFS(Table36103[[#This Row],[Continue Existing]:[Start New]], "TRUE")=0, "YES", "NO")</f>
        <v>YES</v>
      </c>
      <c r="D134" s="28" t="b">
        <f>COUNTIFS(Table36103[[#This Row],[Screening Results: Drug &amp; Alcohol Assessment 1]:[Other Reason 9]], "Continue with existing treatment services")&gt;0</f>
        <v>0</v>
      </c>
      <c r="E134" s="28" t="b">
        <f>COUNTIFS(Table36103[[#This Row],[Screening Results: Drug &amp; Alcohol Assessment 1]:[Other Reason 9]], "Start new service")&gt;0</f>
        <v>0</v>
      </c>
      <c r="F134" s="55"/>
      <c r="G134" s="56"/>
      <c r="H134" s="57"/>
      <c r="I134" s="57"/>
      <c r="J134" s="57"/>
      <c r="K134" s="57"/>
      <c r="L134" s="57"/>
      <c r="M134" s="57"/>
      <c r="N134" s="45"/>
      <c r="O134" s="58"/>
      <c r="P134" s="56"/>
      <c r="Q134" s="57"/>
      <c r="R134" s="57"/>
      <c r="S134" s="57"/>
      <c r="T134" s="57"/>
      <c r="U134" s="57"/>
      <c r="V134" s="57"/>
      <c r="W134" s="45"/>
      <c r="X134" s="65"/>
      <c r="Y134" s="56"/>
      <c r="Z134" s="57"/>
      <c r="AA134" s="57"/>
      <c r="AB134" s="57"/>
      <c r="AC134" s="57"/>
      <c r="AD134" s="57"/>
      <c r="AE134" s="57"/>
      <c r="AF134" s="45"/>
      <c r="AG134" s="65"/>
      <c r="AH134" s="56"/>
      <c r="AI134" s="57"/>
      <c r="AJ134" s="57"/>
      <c r="AK134" s="57"/>
      <c r="AL134" s="57"/>
      <c r="AM134" s="57"/>
      <c r="AN134" s="57"/>
      <c r="AO134" s="45"/>
      <c r="AP134" s="65"/>
      <c r="AQ134" s="56"/>
      <c r="AR134" s="57"/>
      <c r="AS134" s="57"/>
      <c r="AT134" s="57"/>
      <c r="AU134" s="57"/>
      <c r="AV134" s="57"/>
      <c r="AW134" s="57"/>
      <c r="AX134" s="45"/>
      <c r="AY134" s="65"/>
      <c r="AZ134" s="56"/>
      <c r="BA134" s="55"/>
      <c r="BB134" s="55"/>
      <c r="BC134" s="55"/>
      <c r="BD134" s="55"/>
      <c r="BE134" s="55"/>
      <c r="BF134" s="55"/>
      <c r="BG134" s="45"/>
      <c r="BH134" s="65"/>
      <c r="BI134" s="55"/>
      <c r="BJ134" s="55"/>
      <c r="BK134" s="55"/>
      <c r="BL134" s="55"/>
      <c r="BM134" s="55"/>
      <c r="BN134" s="55"/>
      <c r="BO134" s="55"/>
      <c r="BP134" s="55"/>
      <c r="BQ134" s="65"/>
      <c r="BR134" s="55"/>
      <c r="BS134" s="55"/>
      <c r="BT134" s="55"/>
      <c r="BU134" s="55"/>
      <c r="BV134" s="55"/>
      <c r="BW134" s="55"/>
      <c r="BX134" s="55"/>
      <c r="BY134" s="55"/>
      <c r="BZ134" s="65"/>
      <c r="CA134" s="55"/>
      <c r="CB134" s="55"/>
      <c r="CC134" s="55"/>
      <c r="CD134" s="55"/>
      <c r="CE134" s="55"/>
      <c r="CF134" s="55"/>
      <c r="CG134" s="55"/>
      <c r="CH134" s="55"/>
      <c r="CI134" s="55"/>
    </row>
    <row r="135" spans="1:87">
      <c r="A135" s="12" t="str">
        <f>Roster!A135</f>
        <v/>
      </c>
      <c r="B135" s="28">
        <f>Roster!C135</f>
        <v>0</v>
      </c>
      <c r="C135" s="28" t="str">
        <f>IF(COUNTIFS(Table36103[[#This Row],[Continue Existing]:[Start New]], "TRUE")=0, "YES", "NO")</f>
        <v>YES</v>
      </c>
      <c r="D135" s="28" t="b">
        <f>COUNTIFS(Table36103[[#This Row],[Screening Results: Drug &amp; Alcohol Assessment 1]:[Other Reason 9]], "Continue with existing treatment services")&gt;0</f>
        <v>0</v>
      </c>
      <c r="E135" s="28" t="b">
        <f>COUNTIFS(Table36103[[#This Row],[Screening Results: Drug &amp; Alcohol Assessment 1]:[Other Reason 9]], "Start new service")&gt;0</f>
        <v>0</v>
      </c>
      <c r="F135" s="55"/>
      <c r="G135" s="56"/>
      <c r="H135" s="57"/>
      <c r="I135" s="57"/>
      <c r="J135" s="57"/>
      <c r="K135" s="57"/>
      <c r="L135" s="57"/>
      <c r="M135" s="57"/>
      <c r="N135" s="45"/>
      <c r="O135" s="58"/>
      <c r="P135" s="56"/>
      <c r="Q135" s="57"/>
      <c r="R135" s="57"/>
      <c r="S135" s="57"/>
      <c r="T135" s="57"/>
      <c r="U135" s="57"/>
      <c r="V135" s="57"/>
      <c r="W135" s="45"/>
      <c r="X135" s="65"/>
      <c r="Y135" s="56"/>
      <c r="Z135" s="57"/>
      <c r="AA135" s="57"/>
      <c r="AB135" s="57"/>
      <c r="AC135" s="57"/>
      <c r="AD135" s="57"/>
      <c r="AE135" s="57"/>
      <c r="AF135" s="45"/>
      <c r="AG135" s="65"/>
      <c r="AH135" s="56"/>
      <c r="AI135" s="57"/>
      <c r="AJ135" s="57"/>
      <c r="AK135" s="57"/>
      <c r="AL135" s="57"/>
      <c r="AM135" s="57"/>
      <c r="AN135" s="57"/>
      <c r="AO135" s="45"/>
      <c r="AP135" s="65"/>
      <c r="AQ135" s="56"/>
      <c r="AR135" s="57"/>
      <c r="AS135" s="57"/>
      <c r="AT135" s="57"/>
      <c r="AU135" s="57"/>
      <c r="AV135" s="57"/>
      <c r="AW135" s="57"/>
      <c r="AX135" s="45"/>
      <c r="AY135" s="65"/>
      <c r="AZ135" s="56"/>
      <c r="BA135" s="55"/>
      <c r="BB135" s="55"/>
      <c r="BC135" s="55"/>
      <c r="BD135" s="55"/>
      <c r="BE135" s="55"/>
      <c r="BF135" s="55"/>
      <c r="BG135" s="45"/>
      <c r="BH135" s="65"/>
      <c r="BI135" s="55"/>
      <c r="BJ135" s="55"/>
      <c r="BK135" s="55"/>
      <c r="BL135" s="55"/>
      <c r="BM135" s="55"/>
      <c r="BN135" s="55"/>
      <c r="BO135" s="55"/>
      <c r="BP135" s="55"/>
      <c r="BQ135" s="65"/>
      <c r="BR135" s="55"/>
      <c r="BS135" s="55"/>
      <c r="BT135" s="55"/>
      <c r="BU135" s="55"/>
      <c r="BV135" s="55"/>
      <c r="BW135" s="55"/>
      <c r="BX135" s="55"/>
      <c r="BY135" s="55"/>
      <c r="BZ135" s="65"/>
      <c r="CA135" s="55"/>
      <c r="CB135" s="55"/>
      <c r="CC135" s="55"/>
      <c r="CD135" s="55"/>
      <c r="CE135" s="55"/>
      <c r="CF135" s="55"/>
      <c r="CG135" s="55"/>
      <c r="CH135" s="55"/>
      <c r="CI135" s="55"/>
    </row>
    <row r="136" spans="1:87">
      <c r="A136" s="12" t="str">
        <f>Roster!A136</f>
        <v/>
      </c>
      <c r="B136" s="28">
        <f>Roster!C136</f>
        <v>0</v>
      </c>
      <c r="C136" s="28" t="str">
        <f>IF(COUNTIFS(Table36103[[#This Row],[Continue Existing]:[Start New]], "TRUE")=0, "YES", "NO")</f>
        <v>YES</v>
      </c>
      <c r="D136" s="28" t="b">
        <f>COUNTIFS(Table36103[[#This Row],[Screening Results: Drug &amp; Alcohol Assessment 1]:[Other Reason 9]], "Continue with existing treatment services")&gt;0</f>
        <v>0</v>
      </c>
      <c r="E136" s="28" t="b">
        <f>COUNTIFS(Table36103[[#This Row],[Screening Results: Drug &amp; Alcohol Assessment 1]:[Other Reason 9]], "Start new service")&gt;0</f>
        <v>0</v>
      </c>
      <c r="F136" s="55"/>
      <c r="G136" s="56"/>
      <c r="H136" s="57"/>
      <c r="I136" s="57"/>
      <c r="J136" s="57"/>
      <c r="K136" s="57"/>
      <c r="L136" s="57"/>
      <c r="M136" s="57"/>
      <c r="N136" s="45"/>
      <c r="O136" s="58"/>
      <c r="P136" s="56"/>
      <c r="Q136" s="57"/>
      <c r="R136" s="57"/>
      <c r="S136" s="57"/>
      <c r="T136" s="57"/>
      <c r="U136" s="57"/>
      <c r="V136" s="57"/>
      <c r="W136" s="45"/>
      <c r="X136" s="65"/>
      <c r="Y136" s="56"/>
      <c r="Z136" s="57"/>
      <c r="AA136" s="57"/>
      <c r="AB136" s="57"/>
      <c r="AC136" s="57"/>
      <c r="AD136" s="57"/>
      <c r="AE136" s="57"/>
      <c r="AF136" s="45"/>
      <c r="AG136" s="65"/>
      <c r="AH136" s="56"/>
      <c r="AI136" s="57"/>
      <c r="AJ136" s="57"/>
      <c r="AK136" s="57"/>
      <c r="AL136" s="57"/>
      <c r="AM136" s="57"/>
      <c r="AN136" s="57"/>
      <c r="AO136" s="45"/>
      <c r="AP136" s="65"/>
      <c r="AQ136" s="56"/>
      <c r="AR136" s="57"/>
      <c r="AS136" s="57"/>
      <c r="AT136" s="57"/>
      <c r="AU136" s="57"/>
      <c r="AV136" s="57"/>
      <c r="AW136" s="57"/>
      <c r="AX136" s="45"/>
      <c r="AY136" s="65"/>
      <c r="AZ136" s="56"/>
      <c r="BA136" s="55"/>
      <c r="BB136" s="55"/>
      <c r="BC136" s="55"/>
      <c r="BD136" s="55"/>
      <c r="BE136" s="55"/>
      <c r="BF136" s="55"/>
      <c r="BG136" s="45"/>
      <c r="BH136" s="65"/>
      <c r="BI136" s="55"/>
      <c r="BJ136" s="55"/>
      <c r="BK136" s="55"/>
      <c r="BL136" s="55"/>
      <c r="BM136" s="55"/>
      <c r="BN136" s="55"/>
      <c r="BO136" s="55"/>
      <c r="BP136" s="55"/>
      <c r="BQ136" s="65"/>
      <c r="BR136" s="55"/>
      <c r="BS136" s="55"/>
      <c r="BT136" s="55"/>
      <c r="BU136" s="55"/>
      <c r="BV136" s="55"/>
      <c r="BW136" s="55"/>
      <c r="BX136" s="55"/>
      <c r="BY136" s="55"/>
      <c r="BZ136" s="65"/>
      <c r="CA136" s="55"/>
      <c r="CB136" s="55"/>
      <c r="CC136" s="55"/>
      <c r="CD136" s="55"/>
      <c r="CE136" s="55"/>
      <c r="CF136" s="55"/>
      <c r="CG136" s="55"/>
      <c r="CH136" s="55"/>
      <c r="CI136" s="55"/>
    </row>
    <row r="137" spans="1:87">
      <c r="A137" s="12" t="str">
        <f>Roster!A137</f>
        <v/>
      </c>
      <c r="B137" s="28">
        <f>Roster!C137</f>
        <v>0</v>
      </c>
      <c r="C137" s="28" t="str">
        <f>IF(COUNTIFS(Table36103[[#This Row],[Continue Existing]:[Start New]], "TRUE")=0, "YES", "NO")</f>
        <v>YES</v>
      </c>
      <c r="D137" s="28" t="b">
        <f>COUNTIFS(Table36103[[#This Row],[Screening Results: Drug &amp; Alcohol Assessment 1]:[Other Reason 9]], "Continue with existing treatment services")&gt;0</f>
        <v>0</v>
      </c>
      <c r="E137" s="28" t="b">
        <f>COUNTIFS(Table36103[[#This Row],[Screening Results: Drug &amp; Alcohol Assessment 1]:[Other Reason 9]], "Start new service")&gt;0</f>
        <v>0</v>
      </c>
      <c r="F137" s="55"/>
      <c r="G137" s="56"/>
      <c r="H137" s="57"/>
      <c r="I137" s="57"/>
      <c r="J137" s="57"/>
      <c r="K137" s="57"/>
      <c r="L137" s="57"/>
      <c r="M137" s="57"/>
      <c r="N137" s="45"/>
      <c r="O137" s="58"/>
      <c r="P137" s="56"/>
      <c r="Q137" s="57"/>
      <c r="R137" s="57"/>
      <c r="S137" s="57"/>
      <c r="T137" s="57"/>
      <c r="U137" s="57"/>
      <c r="V137" s="57"/>
      <c r="W137" s="45"/>
      <c r="X137" s="65"/>
      <c r="Y137" s="56"/>
      <c r="Z137" s="57"/>
      <c r="AA137" s="57"/>
      <c r="AB137" s="57"/>
      <c r="AC137" s="57"/>
      <c r="AD137" s="57"/>
      <c r="AE137" s="57"/>
      <c r="AF137" s="45"/>
      <c r="AG137" s="65"/>
      <c r="AH137" s="56"/>
      <c r="AI137" s="57"/>
      <c r="AJ137" s="57"/>
      <c r="AK137" s="57"/>
      <c r="AL137" s="57"/>
      <c r="AM137" s="57"/>
      <c r="AN137" s="57"/>
      <c r="AO137" s="45"/>
      <c r="AP137" s="65"/>
      <c r="AQ137" s="56"/>
      <c r="AR137" s="57"/>
      <c r="AS137" s="57"/>
      <c r="AT137" s="57"/>
      <c r="AU137" s="57"/>
      <c r="AV137" s="57"/>
      <c r="AW137" s="57"/>
      <c r="AX137" s="45"/>
      <c r="AY137" s="65"/>
      <c r="AZ137" s="56"/>
      <c r="BA137" s="55"/>
      <c r="BB137" s="55"/>
      <c r="BC137" s="55"/>
      <c r="BD137" s="55"/>
      <c r="BE137" s="55"/>
      <c r="BF137" s="55"/>
      <c r="BG137" s="45"/>
      <c r="BH137" s="65"/>
      <c r="BI137" s="55"/>
      <c r="BJ137" s="55"/>
      <c r="BK137" s="55"/>
      <c r="BL137" s="55"/>
      <c r="BM137" s="55"/>
      <c r="BN137" s="55"/>
      <c r="BO137" s="55"/>
      <c r="BP137" s="55"/>
      <c r="BQ137" s="65"/>
      <c r="BR137" s="55"/>
      <c r="BS137" s="55"/>
      <c r="BT137" s="55"/>
      <c r="BU137" s="55"/>
      <c r="BV137" s="55"/>
      <c r="BW137" s="55"/>
      <c r="BX137" s="55"/>
      <c r="BY137" s="55"/>
      <c r="BZ137" s="65"/>
      <c r="CA137" s="55"/>
      <c r="CB137" s="55"/>
      <c r="CC137" s="55"/>
      <c r="CD137" s="55"/>
      <c r="CE137" s="55"/>
      <c r="CF137" s="55"/>
      <c r="CG137" s="55"/>
      <c r="CH137" s="55"/>
      <c r="CI137" s="55"/>
    </row>
    <row r="138" spans="1:87">
      <c r="A138" s="12" t="str">
        <f>Roster!A138</f>
        <v/>
      </c>
      <c r="B138" s="28">
        <f>Roster!C138</f>
        <v>0</v>
      </c>
      <c r="C138" s="28" t="str">
        <f>IF(COUNTIFS(Table36103[[#This Row],[Continue Existing]:[Start New]], "TRUE")=0, "YES", "NO")</f>
        <v>YES</v>
      </c>
      <c r="D138" s="28" t="b">
        <f>COUNTIFS(Table36103[[#This Row],[Screening Results: Drug &amp; Alcohol Assessment 1]:[Other Reason 9]], "Continue with existing treatment services")&gt;0</f>
        <v>0</v>
      </c>
      <c r="E138" s="28" t="b">
        <f>COUNTIFS(Table36103[[#This Row],[Screening Results: Drug &amp; Alcohol Assessment 1]:[Other Reason 9]], "Start new service")&gt;0</f>
        <v>0</v>
      </c>
      <c r="F138" s="55"/>
      <c r="G138" s="56"/>
      <c r="H138" s="57"/>
      <c r="I138" s="57"/>
      <c r="J138" s="57"/>
      <c r="K138" s="57"/>
      <c r="L138" s="57"/>
      <c r="M138" s="57"/>
      <c r="N138" s="45"/>
      <c r="O138" s="58"/>
      <c r="P138" s="56"/>
      <c r="Q138" s="57"/>
      <c r="R138" s="57"/>
      <c r="S138" s="57"/>
      <c r="T138" s="57"/>
      <c r="U138" s="57"/>
      <c r="V138" s="57"/>
      <c r="W138" s="45"/>
      <c r="X138" s="65"/>
      <c r="Y138" s="56"/>
      <c r="Z138" s="57"/>
      <c r="AA138" s="57"/>
      <c r="AB138" s="57"/>
      <c r="AC138" s="57"/>
      <c r="AD138" s="57"/>
      <c r="AE138" s="57"/>
      <c r="AF138" s="45"/>
      <c r="AG138" s="65"/>
      <c r="AH138" s="56"/>
      <c r="AI138" s="57"/>
      <c r="AJ138" s="57"/>
      <c r="AK138" s="57"/>
      <c r="AL138" s="57"/>
      <c r="AM138" s="57"/>
      <c r="AN138" s="57"/>
      <c r="AO138" s="45"/>
      <c r="AP138" s="65"/>
      <c r="AQ138" s="56"/>
      <c r="AR138" s="57"/>
      <c r="AS138" s="57"/>
      <c r="AT138" s="57"/>
      <c r="AU138" s="57"/>
      <c r="AV138" s="57"/>
      <c r="AW138" s="57"/>
      <c r="AX138" s="45"/>
      <c r="AY138" s="65"/>
      <c r="AZ138" s="56"/>
      <c r="BA138" s="55"/>
      <c r="BB138" s="55"/>
      <c r="BC138" s="55"/>
      <c r="BD138" s="55"/>
      <c r="BE138" s="55"/>
      <c r="BF138" s="55"/>
      <c r="BG138" s="45"/>
      <c r="BH138" s="65"/>
      <c r="BI138" s="55"/>
      <c r="BJ138" s="55"/>
      <c r="BK138" s="55"/>
      <c r="BL138" s="55"/>
      <c r="BM138" s="55"/>
      <c r="BN138" s="55"/>
      <c r="BO138" s="55"/>
      <c r="BP138" s="55"/>
      <c r="BQ138" s="65"/>
      <c r="BR138" s="55"/>
      <c r="BS138" s="55"/>
      <c r="BT138" s="55"/>
      <c r="BU138" s="55"/>
      <c r="BV138" s="55"/>
      <c r="BW138" s="55"/>
      <c r="BX138" s="55"/>
      <c r="BY138" s="55"/>
      <c r="BZ138" s="65"/>
      <c r="CA138" s="55"/>
      <c r="CB138" s="55"/>
      <c r="CC138" s="55"/>
      <c r="CD138" s="55"/>
      <c r="CE138" s="55"/>
      <c r="CF138" s="55"/>
      <c r="CG138" s="55"/>
      <c r="CH138" s="55"/>
      <c r="CI138" s="55"/>
    </row>
    <row r="139" spans="1:87">
      <c r="A139" s="12" t="str">
        <f>Roster!A139</f>
        <v/>
      </c>
      <c r="B139" s="28">
        <f>Roster!C139</f>
        <v>0</v>
      </c>
      <c r="C139" s="28" t="str">
        <f>IF(COUNTIFS(Table36103[[#This Row],[Continue Existing]:[Start New]], "TRUE")=0, "YES", "NO")</f>
        <v>YES</v>
      </c>
      <c r="D139" s="28" t="b">
        <f>COUNTIFS(Table36103[[#This Row],[Screening Results: Drug &amp; Alcohol Assessment 1]:[Other Reason 9]], "Continue with existing treatment services")&gt;0</f>
        <v>0</v>
      </c>
      <c r="E139" s="28" t="b">
        <f>COUNTIFS(Table36103[[#This Row],[Screening Results: Drug &amp; Alcohol Assessment 1]:[Other Reason 9]], "Start new service")&gt;0</f>
        <v>0</v>
      </c>
      <c r="F139" s="55"/>
      <c r="G139" s="56"/>
      <c r="H139" s="57"/>
      <c r="I139" s="57"/>
      <c r="J139" s="57"/>
      <c r="K139" s="57"/>
      <c r="L139" s="57"/>
      <c r="M139" s="57"/>
      <c r="N139" s="45"/>
      <c r="O139" s="58"/>
      <c r="P139" s="56"/>
      <c r="Q139" s="57"/>
      <c r="R139" s="57"/>
      <c r="S139" s="57"/>
      <c r="T139" s="57"/>
      <c r="U139" s="57"/>
      <c r="V139" s="57"/>
      <c r="W139" s="45"/>
      <c r="X139" s="65"/>
      <c r="Y139" s="56"/>
      <c r="Z139" s="57"/>
      <c r="AA139" s="57"/>
      <c r="AB139" s="57"/>
      <c r="AC139" s="57"/>
      <c r="AD139" s="57"/>
      <c r="AE139" s="57"/>
      <c r="AF139" s="45"/>
      <c r="AG139" s="65"/>
      <c r="AH139" s="56"/>
      <c r="AI139" s="57"/>
      <c r="AJ139" s="57"/>
      <c r="AK139" s="57"/>
      <c r="AL139" s="57"/>
      <c r="AM139" s="57"/>
      <c r="AN139" s="57"/>
      <c r="AO139" s="45"/>
      <c r="AP139" s="65"/>
      <c r="AQ139" s="56"/>
      <c r="AR139" s="57"/>
      <c r="AS139" s="57"/>
      <c r="AT139" s="57"/>
      <c r="AU139" s="57"/>
      <c r="AV139" s="57"/>
      <c r="AW139" s="57"/>
      <c r="AX139" s="45"/>
      <c r="AY139" s="65"/>
      <c r="AZ139" s="56"/>
      <c r="BA139" s="55"/>
      <c r="BB139" s="55"/>
      <c r="BC139" s="55"/>
      <c r="BD139" s="55"/>
      <c r="BE139" s="55"/>
      <c r="BF139" s="55"/>
      <c r="BG139" s="45"/>
      <c r="BH139" s="65"/>
      <c r="BI139" s="55"/>
      <c r="BJ139" s="55"/>
      <c r="BK139" s="55"/>
      <c r="BL139" s="55"/>
      <c r="BM139" s="55"/>
      <c r="BN139" s="55"/>
      <c r="BO139" s="55"/>
      <c r="BP139" s="55"/>
      <c r="BQ139" s="65"/>
      <c r="BR139" s="55"/>
      <c r="BS139" s="55"/>
      <c r="BT139" s="55"/>
      <c r="BU139" s="55"/>
      <c r="BV139" s="55"/>
      <c r="BW139" s="55"/>
      <c r="BX139" s="55"/>
      <c r="BY139" s="55"/>
      <c r="BZ139" s="65"/>
      <c r="CA139" s="55"/>
      <c r="CB139" s="55"/>
      <c r="CC139" s="55"/>
      <c r="CD139" s="55"/>
      <c r="CE139" s="55"/>
      <c r="CF139" s="55"/>
      <c r="CG139" s="55"/>
      <c r="CH139" s="55"/>
      <c r="CI139" s="55"/>
    </row>
    <row r="140" spans="1:87">
      <c r="A140" s="12" t="str">
        <f>Roster!A140</f>
        <v/>
      </c>
      <c r="B140" s="28">
        <f>Roster!C140</f>
        <v>0</v>
      </c>
      <c r="C140" s="28" t="str">
        <f>IF(COUNTIFS(Table36103[[#This Row],[Continue Existing]:[Start New]], "TRUE")=0, "YES", "NO")</f>
        <v>YES</v>
      </c>
      <c r="D140" s="28" t="b">
        <f>COUNTIFS(Table36103[[#This Row],[Screening Results: Drug &amp; Alcohol Assessment 1]:[Other Reason 9]], "Continue with existing treatment services")&gt;0</f>
        <v>0</v>
      </c>
      <c r="E140" s="28" t="b">
        <f>COUNTIFS(Table36103[[#This Row],[Screening Results: Drug &amp; Alcohol Assessment 1]:[Other Reason 9]], "Start new service")&gt;0</f>
        <v>0</v>
      </c>
      <c r="F140" s="55"/>
      <c r="G140" s="56"/>
      <c r="H140" s="57"/>
      <c r="I140" s="57"/>
      <c r="J140" s="57"/>
      <c r="K140" s="57"/>
      <c r="L140" s="57"/>
      <c r="M140" s="57"/>
      <c r="N140" s="45"/>
      <c r="O140" s="58"/>
      <c r="P140" s="56"/>
      <c r="Q140" s="57"/>
      <c r="R140" s="57"/>
      <c r="S140" s="57"/>
      <c r="T140" s="57"/>
      <c r="U140" s="57"/>
      <c r="V140" s="57"/>
      <c r="W140" s="45"/>
      <c r="X140" s="65"/>
      <c r="Y140" s="56"/>
      <c r="Z140" s="57"/>
      <c r="AA140" s="57"/>
      <c r="AB140" s="57"/>
      <c r="AC140" s="57"/>
      <c r="AD140" s="57"/>
      <c r="AE140" s="57"/>
      <c r="AF140" s="45"/>
      <c r="AG140" s="65"/>
      <c r="AH140" s="56"/>
      <c r="AI140" s="57"/>
      <c r="AJ140" s="57"/>
      <c r="AK140" s="57"/>
      <c r="AL140" s="57"/>
      <c r="AM140" s="57"/>
      <c r="AN140" s="57"/>
      <c r="AO140" s="45"/>
      <c r="AP140" s="65"/>
      <c r="AQ140" s="56"/>
      <c r="AR140" s="57"/>
      <c r="AS140" s="57"/>
      <c r="AT140" s="57"/>
      <c r="AU140" s="57"/>
      <c r="AV140" s="57"/>
      <c r="AW140" s="57"/>
      <c r="AX140" s="45"/>
      <c r="AY140" s="65"/>
      <c r="AZ140" s="56"/>
      <c r="BA140" s="55"/>
      <c r="BB140" s="55"/>
      <c r="BC140" s="55"/>
      <c r="BD140" s="55"/>
      <c r="BE140" s="55"/>
      <c r="BF140" s="55"/>
      <c r="BG140" s="45"/>
      <c r="BH140" s="65"/>
      <c r="BI140" s="55"/>
      <c r="BJ140" s="55"/>
      <c r="BK140" s="55"/>
      <c r="BL140" s="55"/>
      <c r="BM140" s="55"/>
      <c r="BN140" s="55"/>
      <c r="BO140" s="55"/>
      <c r="BP140" s="55"/>
      <c r="BQ140" s="65"/>
      <c r="BR140" s="55"/>
      <c r="BS140" s="55"/>
      <c r="BT140" s="55"/>
      <c r="BU140" s="55"/>
      <c r="BV140" s="55"/>
      <c r="BW140" s="55"/>
      <c r="BX140" s="55"/>
      <c r="BY140" s="55"/>
      <c r="BZ140" s="65"/>
      <c r="CA140" s="55"/>
      <c r="CB140" s="55"/>
      <c r="CC140" s="55"/>
      <c r="CD140" s="55"/>
      <c r="CE140" s="55"/>
      <c r="CF140" s="55"/>
      <c r="CG140" s="55"/>
      <c r="CH140" s="55"/>
      <c r="CI140" s="55"/>
    </row>
    <row r="141" spans="1:87">
      <c r="A141" s="12" t="str">
        <f>Roster!A141</f>
        <v/>
      </c>
      <c r="B141" s="28">
        <f>Roster!C141</f>
        <v>0</v>
      </c>
      <c r="C141" s="28" t="str">
        <f>IF(COUNTIFS(Table36103[[#This Row],[Continue Existing]:[Start New]], "TRUE")=0, "YES", "NO")</f>
        <v>YES</v>
      </c>
      <c r="D141" s="28" t="b">
        <f>COUNTIFS(Table36103[[#This Row],[Screening Results: Drug &amp; Alcohol Assessment 1]:[Other Reason 9]], "Continue with existing treatment services")&gt;0</f>
        <v>0</v>
      </c>
      <c r="E141" s="28" t="b">
        <f>COUNTIFS(Table36103[[#This Row],[Screening Results: Drug &amp; Alcohol Assessment 1]:[Other Reason 9]], "Start new service")&gt;0</f>
        <v>0</v>
      </c>
      <c r="F141" s="55"/>
      <c r="G141" s="56"/>
      <c r="H141" s="57"/>
      <c r="I141" s="57"/>
      <c r="J141" s="57"/>
      <c r="K141" s="57"/>
      <c r="L141" s="57"/>
      <c r="M141" s="57"/>
      <c r="N141" s="45"/>
      <c r="O141" s="58"/>
      <c r="P141" s="56"/>
      <c r="Q141" s="57"/>
      <c r="R141" s="57"/>
      <c r="S141" s="57"/>
      <c r="T141" s="57"/>
      <c r="U141" s="57"/>
      <c r="V141" s="57"/>
      <c r="W141" s="45"/>
      <c r="X141" s="65"/>
      <c r="Y141" s="56"/>
      <c r="Z141" s="57"/>
      <c r="AA141" s="57"/>
      <c r="AB141" s="57"/>
      <c r="AC141" s="57"/>
      <c r="AD141" s="57"/>
      <c r="AE141" s="57"/>
      <c r="AF141" s="45"/>
      <c r="AG141" s="65"/>
      <c r="AH141" s="56"/>
      <c r="AI141" s="57"/>
      <c r="AJ141" s="57"/>
      <c r="AK141" s="57"/>
      <c r="AL141" s="57"/>
      <c r="AM141" s="57"/>
      <c r="AN141" s="57"/>
      <c r="AO141" s="45"/>
      <c r="AP141" s="65"/>
      <c r="AQ141" s="56"/>
      <c r="AR141" s="57"/>
      <c r="AS141" s="57"/>
      <c r="AT141" s="57"/>
      <c r="AU141" s="57"/>
      <c r="AV141" s="57"/>
      <c r="AW141" s="57"/>
      <c r="AX141" s="45"/>
      <c r="AY141" s="65"/>
      <c r="AZ141" s="56"/>
      <c r="BA141" s="55"/>
      <c r="BB141" s="55"/>
      <c r="BC141" s="55"/>
      <c r="BD141" s="55"/>
      <c r="BE141" s="55"/>
      <c r="BF141" s="55"/>
      <c r="BG141" s="45"/>
      <c r="BH141" s="65"/>
      <c r="BI141" s="55"/>
      <c r="BJ141" s="55"/>
      <c r="BK141" s="55"/>
      <c r="BL141" s="55"/>
      <c r="BM141" s="55"/>
      <c r="BN141" s="55"/>
      <c r="BO141" s="55"/>
      <c r="BP141" s="55"/>
      <c r="BQ141" s="65"/>
      <c r="BR141" s="55"/>
      <c r="BS141" s="55"/>
      <c r="BT141" s="55"/>
      <c r="BU141" s="55"/>
      <c r="BV141" s="55"/>
      <c r="BW141" s="55"/>
      <c r="BX141" s="55"/>
      <c r="BY141" s="55"/>
      <c r="BZ141" s="65"/>
      <c r="CA141" s="55"/>
      <c r="CB141" s="55"/>
      <c r="CC141" s="55"/>
      <c r="CD141" s="55"/>
      <c r="CE141" s="55"/>
      <c r="CF141" s="55"/>
      <c r="CG141" s="55"/>
      <c r="CH141" s="55"/>
      <c r="CI141" s="55"/>
    </row>
    <row r="142" spans="1:87">
      <c r="A142" s="12" t="str">
        <f>Roster!A142</f>
        <v/>
      </c>
      <c r="B142" s="28">
        <f>Roster!C142</f>
        <v>0</v>
      </c>
      <c r="C142" s="28" t="str">
        <f>IF(COUNTIFS(Table36103[[#This Row],[Continue Existing]:[Start New]], "TRUE")=0, "YES", "NO")</f>
        <v>YES</v>
      </c>
      <c r="D142" s="28" t="b">
        <f>COUNTIFS(Table36103[[#This Row],[Screening Results: Drug &amp; Alcohol Assessment 1]:[Other Reason 9]], "Continue with existing treatment services")&gt;0</f>
        <v>0</v>
      </c>
      <c r="E142" s="28" t="b">
        <f>COUNTIFS(Table36103[[#This Row],[Screening Results: Drug &amp; Alcohol Assessment 1]:[Other Reason 9]], "Start new service")&gt;0</f>
        <v>0</v>
      </c>
      <c r="F142" s="55"/>
      <c r="G142" s="56"/>
      <c r="H142" s="57"/>
      <c r="I142" s="57"/>
      <c r="J142" s="57"/>
      <c r="K142" s="57"/>
      <c r="L142" s="57"/>
      <c r="M142" s="57"/>
      <c r="N142" s="45"/>
      <c r="O142" s="58"/>
      <c r="P142" s="56"/>
      <c r="Q142" s="57"/>
      <c r="R142" s="57"/>
      <c r="S142" s="57"/>
      <c r="T142" s="57"/>
      <c r="U142" s="57"/>
      <c r="V142" s="57"/>
      <c r="W142" s="45"/>
      <c r="X142" s="65"/>
      <c r="Y142" s="56"/>
      <c r="Z142" s="57"/>
      <c r="AA142" s="57"/>
      <c r="AB142" s="57"/>
      <c r="AC142" s="57"/>
      <c r="AD142" s="57"/>
      <c r="AE142" s="57"/>
      <c r="AF142" s="45"/>
      <c r="AG142" s="65"/>
      <c r="AH142" s="56"/>
      <c r="AI142" s="57"/>
      <c r="AJ142" s="57"/>
      <c r="AK142" s="57"/>
      <c r="AL142" s="57"/>
      <c r="AM142" s="57"/>
      <c r="AN142" s="57"/>
      <c r="AO142" s="45"/>
      <c r="AP142" s="65"/>
      <c r="AQ142" s="56"/>
      <c r="AR142" s="57"/>
      <c r="AS142" s="57"/>
      <c r="AT142" s="57"/>
      <c r="AU142" s="57"/>
      <c r="AV142" s="57"/>
      <c r="AW142" s="57"/>
      <c r="AX142" s="45"/>
      <c r="AY142" s="65"/>
      <c r="AZ142" s="56"/>
      <c r="BA142" s="55"/>
      <c r="BB142" s="55"/>
      <c r="BC142" s="55"/>
      <c r="BD142" s="55"/>
      <c r="BE142" s="55"/>
      <c r="BF142" s="55"/>
      <c r="BG142" s="45"/>
      <c r="BH142" s="65"/>
      <c r="BI142" s="55"/>
      <c r="BJ142" s="55"/>
      <c r="BK142" s="55"/>
      <c r="BL142" s="55"/>
      <c r="BM142" s="55"/>
      <c r="BN142" s="55"/>
      <c r="BO142" s="55"/>
      <c r="BP142" s="55"/>
      <c r="BQ142" s="65"/>
      <c r="BR142" s="55"/>
      <c r="BS142" s="55"/>
      <c r="BT142" s="55"/>
      <c r="BU142" s="55"/>
      <c r="BV142" s="55"/>
      <c r="BW142" s="55"/>
      <c r="BX142" s="55"/>
      <c r="BY142" s="55"/>
      <c r="BZ142" s="65"/>
      <c r="CA142" s="55"/>
      <c r="CB142" s="55"/>
      <c r="CC142" s="55"/>
      <c r="CD142" s="55"/>
      <c r="CE142" s="55"/>
      <c r="CF142" s="55"/>
      <c r="CG142" s="55"/>
      <c r="CH142" s="55"/>
      <c r="CI142" s="55"/>
    </row>
    <row r="143" spans="1:87">
      <c r="A143" s="12" t="str">
        <f>Roster!A143</f>
        <v/>
      </c>
      <c r="B143" s="28">
        <f>Roster!C143</f>
        <v>0</v>
      </c>
      <c r="C143" s="28" t="str">
        <f>IF(COUNTIFS(Table36103[[#This Row],[Continue Existing]:[Start New]], "TRUE")=0, "YES", "NO")</f>
        <v>YES</v>
      </c>
      <c r="D143" s="28" t="b">
        <f>COUNTIFS(Table36103[[#This Row],[Screening Results: Drug &amp; Alcohol Assessment 1]:[Other Reason 9]], "Continue with existing treatment services")&gt;0</f>
        <v>0</v>
      </c>
      <c r="E143" s="28" t="b">
        <f>COUNTIFS(Table36103[[#This Row],[Screening Results: Drug &amp; Alcohol Assessment 1]:[Other Reason 9]], "Start new service")&gt;0</f>
        <v>0</v>
      </c>
      <c r="F143" s="55"/>
      <c r="G143" s="56"/>
      <c r="H143" s="57"/>
      <c r="I143" s="57"/>
      <c r="J143" s="57"/>
      <c r="K143" s="57"/>
      <c r="L143" s="57"/>
      <c r="M143" s="57"/>
      <c r="N143" s="45"/>
      <c r="O143" s="58"/>
      <c r="P143" s="56"/>
      <c r="Q143" s="57"/>
      <c r="R143" s="57"/>
      <c r="S143" s="57"/>
      <c r="T143" s="57"/>
      <c r="U143" s="57"/>
      <c r="V143" s="57"/>
      <c r="W143" s="45"/>
      <c r="X143" s="65"/>
      <c r="Y143" s="56"/>
      <c r="Z143" s="57"/>
      <c r="AA143" s="57"/>
      <c r="AB143" s="57"/>
      <c r="AC143" s="57"/>
      <c r="AD143" s="57"/>
      <c r="AE143" s="57"/>
      <c r="AF143" s="45"/>
      <c r="AG143" s="65"/>
      <c r="AH143" s="56"/>
      <c r="AI143" s="57"/>
      <c r="AJ143" s="57"/>
      <c r="AK143" s="57"/>
      <c r="AL143" s="57"/>
      <c r="AM143" s="57"/>
      <c r="AN143" s="57"/>
      <c r="AO143" s="45"/>
      <c r="AP143" s="65"/>
      <c r="AQ143" s="56"/>
      <c r="AR143" s="57"/>
      <c r="AS143" s="57"/>
      <c r="AT143" s="57"/>
      <c r="AU143" s="57"/>
      <c r="AV143" s="57"/>
      <c r="AW143" s="57"/>
      <c r="AX143" s="45"/>
      <c r="AY143" s="65"/>
      <c r="AZ143" s="56"/>
      <c r="BA143" s="55"/>
      <c r="BB143" s="55"/>
      <c r="BC143" s="55"/>
      <c r="BD143" s="55"/>
      <c r="BE143" s="55"/>
      <c r="BF143" s="55"/>
      <c r="BG143" s="45"/>
      <c r="BH143" s="65"/>
      <c r="BI143" s="55"/>
      <c r="BJ143" s="55"/>
      <c r="BK143" s="55"/>
      <c r="BL143" s="55"/>
      <c r="BM143" s="55"/>
      <c r="BN143" s="55"/>
      <c r="BO143" s="55"/>
      <c r="BP143" s="55"/>
      <c r="BQ143" s="65"/>
      <c r="BR143" s="55"/>
      <c r="BS143" s="55"/>
      <c r="BT143" s="55"/>
      <c r="BU143" s="55"/>
      <c r="BV143" s="55"/>
      <c r="BW143" s="55"/>
      <c r="BX143" s="55"/>
      <c r="BY143" s="55"/>
      <c r="BZ143" s="65"/>
      <c r="CA143" s="55"/>
      <c r="CB143" s="55"/>
      <c r="CC143" s="55"/>
      <c r="CD143" s="55"/>
      <c r="CE143" s="55"/>
      <c r="CF143" s="55"/>
      <c r="CG143" s="55"/>
      <c r="CH143" s="55"/>
      <c r="CI143" s="55"/>
    </row>
    <row r="144" spans="1:87">
      <c r="A144" s="12" t="str">
        <f>Roster!A144</f>
        <v/>
      </c>
      <c r="B144" s="28">
        <f>Roster!C144</f>
        <v>0</v>
      </c>
      <c r="C144" s="28" t="str">
        <f>IF(COUNTIFS(Table36103[[#This Row],[Continue Existing]:[Start New]], "TRUE")=0, "YES", "NO")</f>
        <v>YES</v>
      </c>
      <c r="D144" s="28" t="b">
        <f>COUNTIFS(Table36103[[#This Row],[Screening Results: Drug &amp; Alcohol Assessment 1]:[Other Reason 9]], "Continue with existing treatment services")&gt;0</f>
        <v>0</v>
      </c>
      <c r="E144" s="28" t="b">
        <f>COUNTIFS(Table36103[[#This Row],[Screening Results: Drug &amp; Alcohol Assessment 1]:[Other Reason 9]], "Start new service")&gt;0</f>
        <v>0</v>
      </c>
      <c r="F144" s="55"/>
      <c r="G144" s="56"/>
      <c r="H144" s="57"/>
      <c r="I144" s="57"/>
      <c r="J144" s="57"/>
      <c r="K144" s="57"/>
      <c r="L144" s="57"/>
      <c r="M144" s="57"/>
      <c r="N144" s="45"/>
      <c r="O144" s="58"/>
      <c r="P144" s="56"/>
      <c r="Q144" s="57"/>
      <c r="R144" s="57"/>
      <c r="S144" s="57"/>
      <c r="T144" s="57"/>
      <c r="U144" s="57"/>
      <c r="V144" s="57"/>
      <c r="W144" s="45"/>
      <c r="X144" s="65"/>
      <c r="Y144" s="56"/>
      <c r="Z144" s="57"/>
      <c r="AA144" s="57"/>
      <c r="AB144" s="57"/>
      <c r="AC144" s="57"/>
      <c r="AD144" s="57"/>
      <c r="AE144" s="57"/>
      <c r="AF144" s="45"/>
      <c r="AG144" s="65"/>
      <c r="AH144" s="56"/>
      <c r="AI144" s="57"/>
      <c r="AJ144" s="57"/>
      <c r="AK144" s="57"/>
      <c r="AL144" s="57"/>
      <c r="AM144" s="57"/>
      <c r="AN144" s="57"/>
      <c r="AO144" s="45"/>
      <c r="AP144" s="65"/>
      <c r="AQ144" s="56"/>
      <c r="AR144" s="57"/>
      <c r="AS144" s="57"/>
      <c r="AT144" s="57"/>
      <c r="AU144" s="57"/>
      <c r="AV144" s="57"/>
      <c r="AW144" s="57"/>
      <c r="AX144" s="45"/>
      <c r="AY144" s="65"/>
      <c r="AZ144" s="56"/>
      <c r="BA144" s="55"/>
      <c r="BB144" s="55"/>
      <c r="BC144" s="55"/>
      <c r="BD144" s="55"/>
      <c r="BE144" s="55"/>
      <c r="BF144" s="55"/>
      <c r="BG144" s="45"/>
      <c r="BH144" s="65"/>
      <c r="BI144" s="55"/>
      <c r="BJ144" s="55"/>
      <c r="BK144" s="55"/>
      <c r="BL144" s="55"/>
      <c r="BM144" s="55"/>
      <c r="BN144" s="55"/>
      <c r="BO144" s="55"/>
      <c r="BP144" s="55"/>
      <c r="BQ144" s="65"/>
      <c r="BR144" s="55"/>
      <c r="BS144" s="55"/>
      <c r="BT144" s="55"/>
      <c r="BU144" s="55"/>
      <c r="BV144" s="55"/>
      <c r="BW144" s="55"/>
      <c r="BX144" s="55"/>
      <c r="BY144" s="55"/>
      <c r="BZ144" s="65"/>
      <c r="CA144" s="55"/>
      <c r="CB144" s="55"/>
      <c r="CC144" s="55"/>
      <c r="CD144" s="55"/>
      <c r="CE144" s="55"/>
      <c r="CF144" s="55"/>
      <c r="CG144" s="55"/>
      <c r="CH144" s="55"/>
      <c r="CI144" s="55"/>
    </row>
    <row r="145" spans="1:87">
      <c r="A145" s="12" t="str">
        <f>Roster!A145</f>
        <v/>
      </c>
      <c r="B145" s="28">
        <f>Roster!C145</f>
        <v>0</v>
      </c>
      <c r="C145" s="28" t="str">
        <f>IF(COUNTIFS(Table36103[[#This Row],[Continue Existing]:[Start New]], "TRUE")=0, "YES", "NO")</f>
        <v>YES</v>
      </c>
      <c r="D145" s="28" t="b">
        <f>COUNTIFS(Table36103[[#This Row],[Screening Results: Drug &amp; Alcohol Assessment 1]:[Other Reason 9]], "Continue with existing treatment services")&gt;0</f>
        <v>0</v>
      </c>
      <c r="E145" s="28" t="b">
        <f>COUNTIFS(Table36103[[#This Row],[Screening Results: Drug &amp; Alcohol Assessment 1]:[Other Reason 9]], "Start new service")&gt;0</f>
        <v>0</v>
      </c>
      <c r="F145" s="55"/>
      <c r="G145" s="56"/>
      <c r="H145" s="57"/>
      <c r="I145" s="57"/>
      <c r="J145" s="57"/>
      <c r="K145" s="57"/>
      <c r="L145" s="57"/>
      <c r="M145" s="57"/>
      <c r="N145" s="45"/>
      <c r="O145" s="58"/>
      <c r="P145" s="56"/>
      <c r="Q145" s="57"/>
      <c r="R145" s="57"/>
      <c r="S145" s="57"/>
      <c r="T145" s="57"/>
      <c r="U145" s="57"/>
      <c r="V145" s="57"/>
      <c r="W145" s="45"/>
      <c r="X145" s="65"/>
      <c r="Y145" s="56"/>
      <c r="Z145" s="57"/>
      <c r="AA145" s="57"/>
      <c r="AB145" s="57"/>
      <c r="AC145" s="57"/>
      <c r="AD145" s="57"/>
      <c r="AE145" s="57"/>
      <c r="AF145" s="45"/>
      <c r="AG145" s="65"/>
      <c r="AH145" s="56"/>
      <c r="AI145" s="57"/>
      <c r="AJ145" s="57"/>
      <c r="AK145" s="57"/>
      <c r="AL145" s="57"/>
      <c r="AM145" s="57"/>
      <c r="AN145" s="57"/>
      <c r="AO145" s="45"/>
      <c r="AP145" s="65"/>
      <c r="AQ145" s="56"/>
      <c r="AR145" s="57"/>
      <c r="AS145" s="57"/>
      <c r="AT145" s="57"/>
      <c r="AU145" s="57"/>
      <c r="AV145" s="57"/>
      <c r="AW145" s="57"/>
      <c r="AX145" s="45"/>
      <c r="AY145" s="65"/>
      <c r="AZ145" s="56"/>
      <c r="BA145" s="55"/>
      <c r="BB145" s="55"/>
      <c r="BC145" s="55"/>
      <c r="BD145" s="55"/>
      <c r="BE145" s="55"/>
      <c r="BF145" s="55"/>
      <c r="BG145" s="45"/>
      <c r="BH145" s="65"/>
      <c r="BI145" s="55"/>
      <c r="BJ145" s="55"/>
      <c r="BK145" s="55"/>
      <c r="BL145" s="55"/>
      <c r="BM145" s="55"/>
      <c r="BN145" s="55"/>
      <c r="BO145" s="55"/>
      <c r="BP145" s="55"/>
      <c r="BQ145" s="65"/>
      <c r="BR145" s="55"/>
      <c r="BS145" s="55"/>
      <c r="BT145" s="55"/>
      <c r="BU145" s="55"/>
      <c r="BV145" s="55"/>
      <c r="BW145" s="55"/>
      <c r="BX145" s="55"/>
      <c r="BY145" s="55"/>
      <c r="BZ145" s="65"/>
      <c r="CA145" s="55"/>
      <c r="CB145" s="55"/>
      <c r="CC145" s="55"/>
      <c r="CD145" s="55"/>
      <c r="CE145" s="55"/>
      <c r="CF145" s="55"/>
      <c r="CG145" s="55"/>
      <c r="CH145" s="55"/>
      <c r="CI145" s="55"/>
    </row>
    <row r="146" spans="1:87">
      <c r="A146" s="12" t="str">
        <f>Roster!A146</f>
        <v/>
      </c>
      <c r="B146" s="28">
        <f>Roster!C146</f>
        <v>0</v>
      </c>
      <c r="C146" s="28" t="str">
        <f>IF(COUNTIFS(Table36103[[#This Row],[Continue Existing]:[Start New]], "TRUE")=0, "YES", "NO")</f>
        <v>YES</v>
      </c>
      <c r="D146" s="28" t="b">
        <f>COUNTIFS(Table36103[[#This Row],[Screening Results: Drug &amp; Alcohol Assessment 1]:[Other Reason 9]], "Continue with existing treatment services")&gt;0</f>
        <v>0</v>
      </c>
      <c r="E146" s="28" t="b">
        <f>COUNTIFS(Table36103[[#This Row],[Screening Results: Drug &amp; Alcohol Assessment 1]:[Other Reason 9]], "Start new service")&gt;0</f>
        <v>0</v>
      </c>
      <c r="F146" s="55"/>
      <c r="G146" s="56"/>
      <c r="H146" s="57"/>
      <c r="I146" s="57"/>
      <c r="J146" s="57"/>
      <c r="K146" s="57"/>
      <c r="L146" s="57"/>
      <c r="M146" s="57"/>
      <c r="N146" s="45"/>
      <c r="O146" s="58"/>
      <c r="P146" s="56"/>
      <c r="Q146" s="57"/>
      <c r="R146" s="57"/>
      <c r="S146" s="57"/>
      <c r="T146" s="57"/>
      <c r="U146" s="57"/>
      <c r="V146" s="57"/>
      <c r="W146" s="45"/>
      <c r="X146" s="65"/>
      <c r="Y146" s="56"/>
      <c r="Z146" s="57"/>
      <c r="AA146" s="57"/>
      <c r="AB146" s="57"/>
      <c r="AC146" s="57"/>
      <c r="AD146" s="57"/>
      <c r="AE146" s="57"/>
      <c r="AF146" s="45"/>
      <c r="AG146" s="65"/>
      <c r="AH146" s="56"/>
      <c r="AI146" s="57"/>
      <c r="AJ146" s="57"/>
      <c r="AK146" s="57"/>
      <c r="AL146" s="57"/>
      <c r="AM146" s="57"/>
      <c r="AN146" s="57"/>
      <c r="AO146" s="45"/>
      <c r="AP146" s="65"/>
      <c r="AQ146" s="56"/>
      <c r="AR146" s="57"/>
      <c r="AS146" s="57"/>
      <c r="AT146" s="57"/>
      <c r="AU146" s="57"/>
      <c r="AV146" s="57"/>
      <c r="AW146" s="57"/>
      <c r="AX146" s="45"/>
      <c r="AY146" s="65"/>
      <c r="AZ146" s="56"/>
      <c r="BA146" s="55"/>
      <c r="BB146" s="55"/>
      <c r="BC146" s="55"/>
      <c r="BD146" s="55"/>
      <c r="BE146" s="55"/>
      <c r="BF146" s="55"/>
      <c r="BG146" s="45"/>
      <c r="BH146" s="65"/>
      <c r="BI146" s="55"/>
      <c r="BJ146" s="55"/>
      <c r="BK146" s="55"/>
      <c r="BL146" s="55"/>
      <c r="BM146" s="55"/>
      <c r="BN146" s="55"/>
      <c r="BO146" s="55"/>
      <c r="BP146" s="55"/>
      <c r="BQ146" s="65"/>
      <c r="BR146" s="55"/>
      <c r="BS146" s="55"/>
      <c r="BT146" s="55"/>
      <c r="BU146" s="55"/>
      <c r="BV146" s="55"/>
      <c r="BW146" s="55"/>
      <c r="BX146" s="55"/>
      <c r="BY146" s="55"/>
      <c r="BZ146" s="65"/>
      <c r="CA146" s="55"/>
      <c r="CB146" s="55"/>
      <c r="CC146" s="55"/>
      <c r="CD146" s="55"/>
      <c r="CE146" s="55"/>
      <c r="CF146" s="55"/>
      <c r="CG146" s="55"/>
      <c r="CH146" s="55"/>
      <c r="CI146" s="55"/>
    </row>
    <row r="147" spans="1:87">
      <c r="A147" s="12" t="str">
        <f>Roster!A147</f>
        <v/>
      </c>
      <c r="B147" s="28">
        <f>Roster!C147</f>
        <v>0</v>
      </c>
      <c r="C147" s="28" t="str">
        <f>IF(COUNTIFS(Table36103[[#This Row],[Continue Existing]:[Start New]], "TRUE")=0, "YES", "NO")</f>
        <v>YES</v>
      </c>
      <c r="D147" s="28" t="b">
        <f>COUNTIFS(Table36103[[#This Row],[Screening Results: Drug &amp; Alcohol Assessment 1]:[Other Reason 9]], "Continue with existing treatment services")&gt;0</f>
        <v>0</v>
      </c>
      <c r="E147" s="28" t="b">
        <f>COUNTIFS(Table36103[[#This Row],[Screening Results: Drug &amp; Alcohol Assessment 1]:[Other Reason 9]], "Start new service")&gt;0</f>
        <v>0</v>
      </c>
      <c r="F147" s="55"/>
      <c r="G147" s="56"/>
      <c r="H147" s="57"/>
      <c r="I147" s="57"/>
      <c r="J147" s="57"/>
      <c r="K147" s="57"/>
      <c r="L147" s="57"/>
      <c r="M147" s="57"/>
      <c r="N147" s="45"/>
      <c r="O147" s="58"/>
      <c r="P147" s="56"/>
      <c r="Q147" s="57"/>
      <c r="R147" s="57"/>
      <c r="S147" s="57"/>
      <c r="T147" s="57"/>
      <c r="U147" s="57"/>
      <c r="V147" s="57"/>
      <c r="W147" s="45"/>
      <c r="X147" s="65"/>
      <c r="Y147" s="56"/>
      <c r="Z147" s="57"/>
      <c r="AA147" s="57"/>
      <c r="AB147" s="57"/>
      <c r="AC147" s="57"/>
      <c r="AD147" s="57"/>
      <c r="AE147" s="57"/>
      <c r="AF147" s="45"/>
      <c r="AG147" s="65"/>
      <c r="AH147" s="56"/>
      <c r="AI147" s="57"/>
      <c r="AJ147" s="57"/>
      <c r="AK147" s="57"/>
      <c r="AL147" s="57"/>
      <c r="AM147" s="57"/>
      <c r="AN147" s="57"/>
      <c r="AO147" s="45"/>
      <c r="AP147" s="65"/>
      <c r="AQ147" s="56"/>
      <c r="AR147" s="57"/>
      <c r="AS147" s="57"/>
      <c r="AT147" s="57"/>
      <c r="AU147" s="57"/>
      <c r="AV147" s="57"/>
      <c r="AW147" s="57"/>
      <c r="AX147" s="45"/>
      <c r="AY147" s="65"/>
      <c r="AZ147" s="56"/>
      <c r="BA147" s="55"/>
      <c r="BB147" s="55"/>
      <c r="BC147" s="55"/>
      <c r="BD147" s="55"/>
      <c r="BE147" s="55"/>
      <c r="BF147" s="55"/>
      <c r="BG147" s="45"/>
      <c r="BH147" s="65"/>
      <c r="BI147" s="55"/>
      <c r="BJ147" s="55"/>
      <c r="BK147" s="55"/>
      <c r="BL147" s="55"/>
      <c r="BM147" s="55"/>
      <c r="BN147" s="55"/>
      <c r="BO147" s="55"/>
      <c r="BP147" s="55"/>
      <c r="BQ147" s="65"/>
      <c r="BR147" s="55"/>
      <c r="BS147" s="55"/>
      <c r="BT147" s="55"/>
      <c r="BU147" s="55"/>
      <c r="BV147" s="55"/>
      <c r="BW147" s="55"/>
      <c r="BX147" s="55"/>
      <c r="BY147" s="55"/>
      <c r="BZ147" s="65"/>
      <c r="CA147" s="55"/>
      <c r="CB147" s="55"/>
      <c r="CC147" s="55"/>
      <c r="CD147" s="55"/>
      <c r="CE147" s="55"/>
      <c r="CF147" s="55"/>
      <c r="CG147" s="55"/>
      <c r="CH147" s="55"/>
      <c r="CI147" s="55"/>
    </row>
    <row r="148" spans="1:87">
      <c r="A148" s="12" t="str">
        <f>Roster!A148</f>
        <v/>
      </c>
      <c r="B148" s="28">
        <f>Roster!C148</f>
        <v>0</v>
      </c>
      <c r="C148" s="28" t="str">
        <f>IF(COUNTIFS(Table36103[[#This Row],[Continue Existing]:[Start New]], "TRUE")=0, "YES", "NO")</f>
        <v>YES</v>
      </c>
      <c r="D148" s="28" t="b">
        <f>COUNTIFS(Table36103[[#This Row],[Screening Results: Drug &amp; Alcohol Assessment 1]:[Other Reason 9]], "Continue with existing treatment services")&gt;0</f>
        <v>0</v>
      </c>
      <c r="E148" s="28" t="b">
        <f>COUNTIFS(Table36103[[#This Row],[Screening Results: Drug &amp; Alcohol Assessment 1]:[Other Reason 9]], "Start new service")&gt;0</f>
        <v>0</v>
      </c>
      <c r="F148" s="55"/>
      <c r="G148" s="56"/>
      <c r="H148" s="57"/>
      <c r="I148" s="57"/>
      <c r="J148" s="57"/>
      <c r="K148" s="57"/>
      <c r="L148" s="57"/>
      <c r="M148" s="57"/>
      <c r="N148" s="45"/>
      <c r="O148" s="58"/>
      <c r="P148" s="56"/>
      <c r="Q148" s="57"/>
      <c r="R148" s="57"/>
      <c r="S148" s="57"/>
      <c r="T148" s="57"/>
      <c r="U148" s="57"/>
      <c r="V148" s="57"/>
      <c r="W148" s="45"/>
      <c r="X148" s="65"/>
      <c r="Y148" s="56"/>
      <c r="Z148" s="57"/>
      <c r="AA148" s="57"/>
      <c r="AB148" s="57"/>
      <c r="AC148" s="57"/>
      <c r="AD148" s="57"/>
      <c r="AE148" s="57"/>
      <c r="AF148" s="45"/>
      <c r="AG148" s="65"/>
      <c r="AH148" s="56"/>
      <c r="AI148" s="57"/>
      <c r="AJ148" s="57"/>
      <c r="AK148" s="57"/>
      <c r="AL148" s="57"/>
      <c r="AM148" s="57"/>
      <c r="AN148" s="57"/>
      <c r="AO148" s="45"/>
      <c r="AP148" s="65"/>
      <c r="AQ148" s="56"/>
      <c r="AR148" s="57"/>
      <c r="AS148" s="57"/>
      <c r="AT148" s="57"/>
      <c r="AU148" s="57"/>
      <c r="AV148" s="57"/>
      <c r="AW148" s="57"/>
      <c r="AX148" s="45"/>
      <c r="AY148" s="65"/>
      <c r="AZ148" s="56"/>
      <c r="BA148" s="55"/>
      <c r="BB148" s="55"/>
      <c r="BC148" s="55"/>
      <c r="BD148" s="55"/>
      <c r="BE148" s="55"/>
      <c r="BF148" s="55"/>
      <c r="BG148" s="45"/>
      <c r="BH148" s="65"/>
      <c r="BI148" s="55"/>
      <c r="BJ148" s="55"/>
      <c r="BK148" s="55"/>
      <c r="BL148" s="55"/>
      <c r="BM148" s="55"/>
      <c r="BN148" s="55"/>
      <c r="BO148" s="55"/>
      <c r="BP148" s="55"/>
      <c r="BQ148" s="65"/>
      <c r="BR148" s="55"/>
      <c r="BS148" s="55"/>
      <c r="BT148" s="55"/>
      <c r="BU148" s="55"/>
      <c r="BV148" s="55"/>
      <c r="BW148" s="55"/>
      <c r="BX148" s="55"/>
      <c r="BY148" s="55"/>
      <c r="BZ148" s="65"/>
      <c r="CA148" s="55"/>
      <c r="CB148" s="55"/>
      <c r="CC148" s="55"/>
      <c r="CD148" s="55"/>
      <c r="CE148" s="55"/>
      <c r="CF148" s="55"/>
      <c r="CG148" s="55"/>
      <c r="CH148" s="55"/>
      <c r="CI148" s="55"/>
    </row>
    <row r="149" spans="1:87">
      <c r="A149" s="12" t="str">
        <f>Roster!A149</f>
        <v/>
      </c>
      <c r="B149" s="28">
        <f>Roster!C149</f>
        <v>0</v>
      </c>
      <c r="C149" s="28" t="str">
        <f>IF(COUNTIFS(Table36103[[#This Row],[Continue Existing]:[Start New]], "TRUE")=0, "YES", "NO")</f>
        <v>YES</v>
      </c>
      <c r="D149" s="28" t="b">
        <f>COUNTIFS(Table36103[[#This Row],[Screening Results: Drug &amp; Alcohol Assessment 1]:[Other Reason 9]], "Continue with existing treatment services")&gt;0</f>
        <v>0</v>
      </c>
      <c r="E149" s="28" t="b">
        <f>COUNTIFS(Table36103[[#This Row],[Screening Results: Drug &amp; Alcohol Assessment 1]:[Other Reason 9]], "Start new service")&gt;0</f>
        <v>0</v>
      </c>
      <c r="F149" s="55"/>
      <c r="G149" s="56"/>
      <c r="H149" s="57"/>
      <c r="I149" s="57"/>
      <c r="J149" s="57"/>
      <c r="K149" s="57"/>
      <c r="L149" s="57"/>
      <c r="M149" s="57"/>
      <c r="N149" s="45"/>
      <c r="O149" s="58"/>
      <c r="P149" s="56"/>
      <c r="Q149" s="57"/>
      <c r="R149" s="57"/>
      <c r="S149" s="57"/>
      <c r="T149" s="57"/>
      <c r="U149" s="57"/>
      <c r="V149" s="57"/>
      <c r="W149" s="45"/>
      <c r="X149" s="65"/>
      <c r="Y149" s="56"/>
      <c r="Z149" s="57"/>
      <c r="AA149" s="57"/>
      <c r="AB149" s="57"/>
      <c r="AC149" s="57"/>
      <c r="AD149" s="57"/>
      <c r="AE149" s="57"/>
      <c r="AF149" s="45"/>
      <c r="AG149" s="65"/>
      <c r="AH149" s="56"/>
      <c r="AI149" s="57"/>
      <c r="AJ149" s="57"/>
      <c r="AK149" s="57"/>
      <c r="AL149" s="57"/>
      <c r="AM149" s="57"/>
      <c r="AN149" s="57"/>
      <c r="AO149" s="45"/>
      <c r="AP149" s="65"/>
      <c r="AQ149" s="56"/>
      <c r="AR149" s="57"/>
      <c r="AS149" s="57"/>
      <c r="AT149" s="57"/>
      <c r="AU149" s="57"/>
      <c r="AV149" s="57"/>
      <c r="AW149" s="57"/>
      <c r="AX149" s="45"/>
      <c r="AY149" s="65"/>
      <c r="AZ149" s="56"/>
      <c r="BA149" s="55"/>
      <c r="BB149" s="55"/>
      <c r="BC149" s="55"/>
      <c r="BD149" s="55"/>
      <c r="BE149" s="55"/>
      <c r="BF149" s="55"/>
      <c r="BG149" s="45"/>
      <c r="BH149" s="65"/>
      <c r="BI149" s="55"/>
      <c r="BJ149" s="55"/>
      <c r="BK149" s="55"/>
      <c r="BL149" s="55"/>
      <c r="BM149" s="55"/>
      <c r="BN149" s="55"/>
      <c r="BO149" s="55"/>
      <c r="BP149" s="55"/>
      <c r="BQ149" s="65"/>
      <c r="BR149" s="55"/>
      <c r="BS149" s="55"/>
      <c r="BT149" s="55"/>
      <c r="BU149" s="55"/>
      <c r="BV149" s="55"/>
      <c r="BW149" s="55"/>
      <c r="BX149" s="55"/>
      <c r="BY149" s="55"/>
      <c r="BZ149" s="65"/>
      <c r="CA149" s="55"/>
      <c r="CB149" s="55"/>
      <c r="CC149" s="55"/>
      <c r="CD149" s="55"/>
      <c r="CE149" s="55"/>
      <c r="CF149" s="55"/>
      <c r="CG149" s="55"/>
      <c r="CH149" s="55"/>
      <c r="CI149" s="55"/>
    </row>
    <row r="150" spans="1:87">
      <c r="A150" s="12" t="str">
        <f>Roster!A150</f>
        <v/>
      </c>
      <c r="B150" s="28">
        <f>Roster!C150</f>
        <v>0</v>
      </c>
      <c r="C150" s="28" t="str">
        <f>IF(COUNTIFS(Table36103[[#This Row],[Continue Existing]:[Start New]], "TRUE")=0, "YES", "NO")</f>
        <v>YES</v>
      </c>
      <c r="D150" s="28" t="b">
        <f>COUNTIFS(Table36103[[#This Row],[Screening Results: Drug &amp; Alcohol Assessment 1]:[Other Reason 9]], "Continue with existing treatment services")&gt;0</f>
        <v>0</v>
      </c>
      <c r="E150" s="28" t="b">
        <f>COUNTIFS(Table36103[[#This Row],[Screening Results: Drug &amp; Alcohol Assessment 1]:[Other Reason 9]], "Start new service")&gt;0</f>
        <v>0</v>
      </c>
      <c r="F150" s="55"/>
      <c r="G150" s="56"/>
      <c r="H150" s="57"/>
      <c r="I150" s="57"/>
      <c r="J150" s="57"/>
      <c r="K150" s="57"/>
      <c r="L150" s="57"/>
      <c r="M150" s="57"/>
      <c r="N150" s="45"/>
      <c r="O150" s="58"/>
      <c r="P150" s="56"/>
      <c r="Q150" s="57"/>
      <c r="R150" s="57"/>
      <c r="S150" s="57"/>
      <c r="T150" s="57"/>
      <c r="U150" s="57"/>
      <c r="V150" s="57"/>
      <c r="W150" s="45"/>
      <c r="X150" s="65"/>
      <c r="Y150" s="56"/>
      <c r="Z150" s="57"/>
      <c r="AA150" s="57"/>
      <c r="AB150" s="57"/>
      <c r="AC150" s="57"/>
      <c r="AD150" s="57"/>
      <c r="AE150" s="57"/>
      <c r="AF150" s="45"/>
      <c r="AG150" s="65"/>
      <c r="AH150" s="56"/>
      <c r="AI150" s="57"/>
      <c r="AJ150" s="57"/>
      <c r="AK150" s="57"/>
      <c r="AL150" s="57"/>
      <c r="AM150" s="57"/>
      <c r="AN150" s="57"/>
      <c r="AO150" s="45"/>
      <c r="AP150" s="65"/>
      <c r="AQ150" s="56"/>
      <c r="AR150" s="57"/>
      <c r="AS150" s="57"/>
      <c r="AT150" s="57"/>
      <c r="AU150" s="57"/>
      <c r="AV150" s="57"/>
      <c r="AW150" s="57"/>
      <c r="AX150" s="45"/>
      <c r="AY150" s="65"/>
      <c r="AZ150" s="56"/>
      <c r="BA150" s="55"/>
      <c r="BB150" s="55"/>
      <c r="BC150" s="55"/>
      <c r="BD150" s="55"/>
      <c r="BE150" s="55"/>
      <c r="BF150" s="55"/>
      <c r="BG150" s="45"/>
      <c r="BH150" s="65"/>
      <c r="BI150" s="55"/>
      <c r="BJ150" s="55"/>
      <c r="BK150" s="55"/>
      <c r="BL150" s="55"/>
      <c r="BM150" s="55"/>
      <c r="BN150" s="55"/>
      <c r="BO150" s="55"/>
      <c r="BP150" s="55"/>
      <c r="BQ150" s="65"/>
      <c r="BR150" s="55"/>
      <c r="BS150" s="55"/>
      <c r="BT150" s="55"/>
      <c r="BU150" s="55"/>
      <c r="BV150" s="55"/>
      <c r="BW150" s="55"/>
      <c r="BX150" s="55"/>
      <c r="BY150" s="55"/>
      <c r="BZ150" s="65"/>
      <c r="CA150" s="55"/>
      <c r="CB150" s="55"/>
      <c r="CC150" s="55"/>
      <c r="CD150" s="55"/>
      <c r="CE150" s="55"/>
      <c r="CF150" s="55"/>
      <c r="CG150" s="55"/>
      <c r="CH150" s="55"/>
      <c r="CI150" s="55"/>
    </row>
    <row r="151" spans="1:87">
      <c r="A151" s="12" t="str">
        <f>Roster!A151</f>
        <v/>
      </c>
      <c r="B151" s="28">
        <f>Roster!C151</f>
        <v>0</v>
      </c>
      <c r="C151" s="28" t="str">
        <f>IF(COUNTIFS(Table36103[[#This Row],[Continue Existing]:[Start New]], "TRUE")=0, "YES", "NO")</f>
        <v>YES</v>
      </c>
      <c r="D151" s="28" t="b">
        <f>COUNTIFS(Table36103[[#This Row],[Screening Results: Drug &amp; Alcohol Assessment 1]:[Other Reason 9]], "Continue with existing treatment services")&gt;0</f>
        <v>0</v>
      </c>
      <c r="E151" s="28" t="b">
        <f>COUNTIFS(Table36103[[#This Row],[Screening Results: Drug &amp; Alcohol Assessment 1]:[Other Reason 9]], "Start new service")&gt;0</f>
        <v>0</v>
      </c>
      <c r="F151" s="55"/>
      <c r="G151" s="56"/>
      <c r="H151" s="57"/>
      <c r="I151" s="57"/>
      <c r="J151" s="57"/>
      <c r="K151" s="57"/>
      <c r="L151" s="57"/>
      <c r="M151" s="57"/>
      <c r="N151" s="45"/>
      <c r="O151" s="58"/>
      <c r="P151" s="56"/>
      <c r="Q151" s="57"/>
      <c r="R151" s="57"/>
      <c r="S151" s="57"/>
      <c r="T151" s="57"/>
      <c r="U151" s="57"/>
      <c r="V151" s="57"/>
      <c r="W151" s="45"/>
      <c r="X151" s="65"/>
      <c r="Y151" s="56"/>
      <c r="Z151" s="57"/>
      <c r="AA151" s="57"/>
      <c r="AB151" s="57"/>
      <c r="AC151" s="57"/>
      <c r="AD151" s="57"/>
      <c r="AE151" s="57"/>
      <c r="AF151" s="45"/>
      <c r="AG151" s="65"/>
      <c r="AH151" s="56"/>
      <c r="AI151" s="57"/>
      <c r="AJ151" s="57"/>
      <c r="AK151" s="57"/>
      <c r="AL151" s="57"/>
      <c r="AM151" s="57"/>
      <c r="AN151" s="57"/>
      <c r="AO151" s="45"/>
      <c r="AP151" s="65"/>
      <c r="AQ151" s="56"/>
      <c r="AR151" s="57"/>
      <c r="AS151" s="57"/>
      <c r="AT151" s="57"/>
      <c r="AU151" s="57"/>
      <c r="AV151" s="57"/>
      <c r="AW151" s="57"/>
      <c r="AX151" s="45"/>
      <c r="AY151" s="65"/>
      <c r="AZ151" s="56"/>
      <c r="BA151" s="55"/>
      <c r="BB151" s="55"/>
      <c r="BC151" s="55"/>
      <c r="BD151" s="55"/>
      <c r="BE151" s="55"/>
      <c r="BF151" s="55"/>
      <c r="BG151" s="45"/>
      <c r="BH151" s="65"/>
      <c r="BI151" s="55"/>
      <c r="BJ151" s="55"/>
      <c r="BK151" s="55"/>
      <c r="BL151" s="55"/>
      <c r="BM151" s="55"/>
      <c r="BN151" s="55"/>
      <c r="BO151" s="55"/>
      <c r="BP151" s="55"/>
      <c r="BQ151" s="65"/>
      <c r="BR151" s="55"/>
      <c r="BS151" s="55"/>
      <c r="BT151" s="55"/>
      <c r="BU151" s="55"/>
      <c r="BV151" s="55"/>
      <c r="BW151" s="55"/>
      <c r="BX151" s="55"/>
      <c r="BY151" s="55"/>
      <c r="BZ151" s="65"/>
      <c r="CA151" s="55"/>
      <c r="CB151" s="55"/>
      <c r="CC151" s="55"/>
      <c r="CD151" s="55"/>
      <c r="CE151" s="55"/>
      <c r="CF151" s="55"/>
      <c r="CG151" s="55"/>
      <c r="CH151" s="55"/>
      <c r="CI151" s="55"/>
    </row>
    <row r="152" spans="1:87">
      <c r="A152" s="11" t="str">
        <f>Roster!A152</f>
        <v/>
      </c>
      <c r="B152" s="38">
        <f>Roster!C152</f>
        <v>0</v>
      </c>
      <c r="C152" s="28" t="str">
        <f>IF(COUNTIFS(Table36103[[#This Row],[Continue Existing]:[Start New]], "TRUE")=0, "YES", "NO")</f>
        <v>YES</v>
      </c>
      <c r="D152" s="28" t="b">
        <f>COUNTIFS(Table36103[[#This Row],[Screening Results: Drug &amp; Alcohol Assessment 1]:[Other Reason 9]], "Continue with existing treatment services")&gt;0</f>
        <v>0</v>
      </c>
      <c r="E152" s="28" t="b">
        <f>COUNTIFS(Table36103[[#This Row],[Screening Results: Drug &amp; Alcohol Assessment 1]:[Other Reason 9]], "Start new service")&gt;0</f>
        <v>0</v>
      </c>
      <c r="F152" s="67"/>
      <c r="G152" s="68"/>
      <c r="H152" s="40"/>
      <c r="I152" s="40"/>
      <c r="J152" s="40"/>
      <c r="K152" s="40"/>
      <c r="L152" s="40"/>
      <c r="M152" s="40"/>
      <c r="N152" s="47"/>
      <c r="O152" s="69"/>
      <c r="P152" s="68"/>
      <c r="Q152" s="40"/>
      <c r="R152" s="40"/>
      <c r="S152" s="40"/>
      <c r="T152" s="40"/>
      <c r="U152" s="40"/>
      <c r="V152" s="40"/>
      <c r="W152" s="47"/>
      <c r="X152" s="70"/>
      <c r="Y152" s="68"/>
      <c r="Z152" s="40"/>
      <c r="AA152" s="40"/>
      <c r="AB152" s="40"/>
      <c r="AC152" s="40"/>
      <c r="AD152" s="40"/>
      <c r="AE152" s="40"/>
      <c r="AF152" s="47"/>
      <c r="AG152" s="70"/>
      <c r="AH152" s="68"/>
      <c r="AI152" s="40"/>
      <c r="AJ152" s="40"/>
      <c r="AK152" s="40"/>
      <c r="AL152" s="40"/>
      <c r="AM152" s="40"/>
      <c r="AN152" s="40"/>
      <c r="AO152" s="47"/>
      <c r="AP152" s="70"/>
      <c r="AQ152" s="68"/>
      <c r="AR152" s="40"/>
      <c r="AS152" s="40"/>
      <c r="AT152" s="40"/>
      <c r="AU152" s="40"/>
      <c r="AV152" s="40"/>
      <c r="AW152" s="40"/>
      <c r="AX152" s="47"/>
      <c r="AY152" s="70"/>
      <c r="AZ152" s="68"/>
      <c r="BA152" s="67"/>
      <c r="BB152" s="67"/>
      <c r="BC152" s="67"/>
      <c r="BD152" s="67"/>
      <c r="BE152" s="67"/>
      <c r="BF152" s="67"/>
      <c r="BG152" s="47"/>
      <c r="BH152" s="70"/>
      <c r="BI152" s="67"/>
      <c r="BJ152" s="67"/>
      <c r="BK152" s="67"/>
      <c r="BL152" s="67"/>
      <c r="BM152" s="67"/>
      <c r="BN152" s="67"/>
      <c r="BO152" s="67"/>
      <c r="BP152" s="67"/>
      <c r="BQ152" s="70"/>
      <c r="BR152" s="67"/>
      <c r="BS152" s="67"/>
      <c r="BT152" s="67"/>
      <c r="BU152" s="67"/>
      <c r="BV152" s="67"/>
      <c r="BW152" s="67"/>
      <c r="BX152" s="67"/>
      <c r="BY152" s="67"/>
      <c r="BZ152" s="70"/>
      <c r="CA152" s="67"/>
      <c r="CB152" s="67"/>
      <c r="CC152" s="67"/>
      <c r="CD152" s="67"/>
      <c r="CE152" s="67"/>
      <c r="CF152" s="67"/>
      <c r="CG152" s="67"/>
      <c r="CH152" s="67"/>
      <c r="CI152" s="67"/>
    </row>
    <row r="153" spans="1:87">
      <c r="A153" s="12" t="str">
        <f>Roster!A153</f>
        <v/>
      </c>
      <c r="B153" s="28">
        <f>Roster!C153</f>
        <v>0</v>
      </c>
      <c r="C153" s="28" t="str">
        <f>IF(COUNTIFS(Table36103[[#This Row],[Continue Existing]:[Start New]], "TRUE")=0, "YES", "NO")</f>
        <v>YES</v>
      </c>
      <c r="D153" s="28" t="b">
        <f>COUNTIFS(Table36103[[#This Row],[Screening Results: Drug &amp; Alcohol Assessment 1]:[Other Reason 9]], "Continue with existing treatment services")&gt;0</f>
        <v>0</v>
      </c>
      <c r="E153" s="28" t="b">
        <f>COUNTIFS(Table36103[[#This Row],[Screening Results: Drug &amp; Alcohol Assessment 1]:[Other Reason 9]], "Start new service")&gt;0</f>
        <v>0</v>
      </c>
      <c r="F153" s="55"/>
      <c r="G153" s="56"/>
      <c r="H153" s="57"/>
      <c r="I153" s="57"/>
      <c r="J153" s="57"/>
      <c r="K153" s="57"/>
      <c r="L153" s="57"/>
      <c r="M153" s="57"/>
      <c r="N153" s="45"/>
      <c r="O153" s="58"/>
      <c r="P153" s="56"/>
      <c r="Q153" s="57"/>
      <c r="R153" s="57"/>
      <c r="S153" s="57"/>
      <c r="T153" s="57"/>
      <c r="U153" s="57"/>
      <c r="V153" s="57"/>
      <c r="W153" s="45"/>
      <c r="X153" s="65"/>
      <c r="Y153" s="56"/>
      <c r="Z153" s="57"/>
      <c r="AA153" s="57"/>
      <c r="AB153" s="57"/>
      <c r="AC153" s="57"/>
      <c r="AD153" s="57"/>
      <c r="AE153" s="57"/>
      <c r="AF153" s="45"/>
      <c r="AG153" s="65"/>
      <c r="AH153" s="56"/>
      <c r="AI153" s="57"/>
      <c r="AJ153" s="57"/>
      <c r="AK153" s="57"/>
      <c r="AL153" s="57"/>
      <c r="AM153" s="57"/>
      <c r="AN153" s="57"/>
      <c r="AO153" s="45"/>
      <c r="AP153" s="65"/>
      <c r="AQ153" s="56"/>
      <c r="AR153" s="57"/>
      <c r="AS153" s="57"/>
      <c r="AT153" s="57"/>
      <c r="AU153" s="57"/>
      <c r="AV153" s="57"/>
      <c r="AW153" s="57"/>
      <c r="AX153" s="45"/>
      <c r="AY153" s="65"/>
      <c r="AZ153" s="56"/>
      <c r="BA153" s="55"/>
      <c r="BB153" s="55"/>
      <c r="BC153" s="55"/>
      <c r="BD153" s="55"/>
      <c r="BE153" s="55"/>
      <c r="BF153" s="55"/>
      <c r="BG153" s="45"/>
      <c r="BH153" s="65"/>
      <c r="BI153" s="55"/>
      <c r="BJ153" s="55"/>
      <c r="BK153" s="55"/>
      <c r="BL153" s="55"/>
      <c r="BM153" s="55"/>
      <c r="BN153" s="55"/>
      <c r="BO153" s="55"/>
      <c r="BP153" s="55"/>
      <c r="BQ153" s="65"/>
      <c r="BR153" s="55"/>
      <c r="BS153" s="55"/>
      <c r="BT153" s="55"/>
      <c r="BU153" s="55"/>
      <c r="BV153" s="55"/>
      <c r="BW153" s="55"/>
      <c r="BX153" s="55"/>
      <c r="BY153" s="55"/>
      <c r="BZ153" s="65"/>
      <c r="CA153" s="55"/>
      <c r="CB153" s="55"/>
      <c r="CC153" s="55"/>
      <c r="CD153" s="55"/>
      <c r="CE153" s="55"/>
      <c r="CF153" s="55"/>
      <c r="CG153" s="55"/>
      <c r="CH153" s="55"/>
      <c r="CI153" s="55"/>
    </row>
    <row r="154" spans="1:87">
      <c r="A154" s="12" t="str">
        <f>Roster!A154</f>
        <v/>
      </c>
      <c r="B154" s="28">
        <f>Roster!C154</f>
        <v>0</v>
      </c>
      <c r="C154" s="28" t="str">
        <f>IF(COUNTIFS(Table36103[[#This Row],[Continue Existing]:[Start New]], "TRUE")=0, "YES", "NO")</f>
        <v>YES</v>
      </c>
      <c r="D154" s="28" t="b">
        <f>COUNTIFS(Table36103[[#This Row],[Screening Results: Drug &amp; Alcohol Assessment 1]:[Other Reason 9]], "Continue with existing treatment services")&gt;0</f>
        <v>0</v>
      </c>
      <c r="E154" s="28" t="b">
        <f>COUNTIFS(Table36103[[#This Row],[Screening Results: Drug &amp; Alcohol Assessment 1]:[Other Reason 9]], "Start new service")&gt;0</f>
        <v>0</v>
      </c>
      <c r="F154" s="55"/>
      <c r="G154" s="56"/>
      <c r="H154" s="57"/>
      <c r="I154" s="57"/>
      <c r="J154" s="57"/>
      <c r="K154" s="57"/>
      <c r="L154" s="57"/>
      <c r="M154" s="57"/>
      <c r="N154" s="45"/>
      <c r="O154" s="58"/>
      <c r="P154" s="56"/>
      <c r="Q154" s="57"/>
      <c r="R154" s="57"/>
      <c r="S154" s="57"/>
      <c r="T154" s="57"/>
      <c r="U154" s="57"/>
      <c r="V154" s="57"/>
      <c r="W154" s="45"/>
      <c r="X154" s="65"/>
      <c r="Y154" s="56"/>
      <c r="Z154" s="57"/>
      <c r="AA154" s="57"/>
      <c r="AB154" s="57"/>
      <c r="AC154" s="57"/>
      <c r="AD154" s="57"/>
      <c r="AE154" s="57"/>
      <c r="AF154" s="45"/>
      <c r="AG154" s="65"/>
      <c r="AH154" s="56"/>
      <c r="AI154" s="57"/>
      <c r="AJ154" s="57"/>
      <c r="AK154" s="57"/>
      <c r="AL154" s="57"/>
      <c r="AM154" s="57"/>
      <c r="AN154" s="57"/>
      <c r="AO154" s="45"/>
      <c r="AP154" s="65"/>
      <c r="AQ154" s="56"/>
      <c r="AR154" s="57"/>
      <c r="AS154" s="57"/>
      <c r="AT154" s="57"/>
      <c r="AU154" s="57"/>
      <c r="AV154" s="57"/>
      <c r="AW154" s="57"/>
      <c r="AX154" s="45"/>
      <c r="AY154" s="65"/>
      <c r="AZ154" s="56"/>
      <c r="BA154" s="55"/>
      <c r="BB154" s="55"/>
      <c r="BC154" s="55"/>
      <c r="BD154" s="55"/>
      <c r="BE154" s="55"/>
      <c r="BF154" s="55"/>
      <c r="BG154" s="45"/>
      <c r="BH154" s="65"/>
      <c r="BI154" s="55"/>
      <c r="BJ154" s="55"/>
      <c r="BK154" s="55"/>
      <c r="BL154" s="55"/>
      <c r="BM154" s="55"/>
      <c r="BN154" s="55"/>
      <c r="BO154" s="55"/>
      <c r="BP154" s="55"/>
      <c r="BQ154" s="65"/>
      <c r="BR154" s="55"/>
      <c r="BS154" s="55"/>
      <c r="BT154" s="55"/>
      <c r="BU154" s="55"/>
      <c r="BV154" s="55"/>
      <c r="BW154" s="55"/>
      <c r="BX154" s="55"/>
      <c r="BY154" s="55"/>
      <c r="BZ154" s="65"/>
      <c r="CA154" s="55"/>
      <c r="CB154" s="55"/>
      <c r="CC154" s="55"/>
      <c r="CD154" s="55"/>
      <c r="CE154" s="55"/>
      <c r="CF154" s="55"/>
      <c r="CG154" s="55"/>
      <c r="CH154" s="55"/>
      <c r="CI154" s="55"/>
    </row>
    <row r="155" spans="1:87">
      <c r="A155" s="12" t="str">
        <f>Roster!A155</f>
        <v/>
      </c>
      <c r="B155" s="28">
        <f>Roster!C155</f>
        <v>0</v>
      </c>
      <c r="C155" s="28" t="str">
        <f>IF(COUNTIFS(Table36103[[#This Row],[Continue Existing]:[Start New]], "TRUE")=0, "YES", "NO")</f>
        <v>YES</v>
      </c>
      <c r="D155" s="28" t="b">
        <f>COUNTIFS(Table36103[[#This Row],[Screening Results: Drug &amp; Alcohol Assessment 1]:[Other Reason 9]], "Continue with existing treatment services")&gt;0</f>
        <v>0</v>
      </c>
      <c r="E155" s="28" t="b">
        <f>COUNTIFS(Table36103[[#This Row],[Screening Results: Drug &amp; Alcohol Assessment 1]:[Other Reason 9]], "Start new service")&gt;0</f>
        <v>0</v>
      </c>
      <c r="F155" s="55"/>
      <c r="G155" s="56"/>
      <c r="H155" s="57"/>
      <c r="I155" s="57"/>
      <c r="J155" s="57"/>
      <c r="K155" s="57"/>
      <c r="L155" s="57"/>
      <c r="M155" s="57"/>
      <c r="N155" s="45"/>
      <c r="O155" s="58"/>
      <c r="P155" s="56"/>
      <c r="Q155" s="57"/>
      <c r="R155" s="57"/>
      <c r="S155" s="57"/>
      <c r="T155" s="57"/>
      <c r="U155" s="57"/>
      <c r="V155" s="57"/>
      <c r="W155" s="45"/>
      <c r="X155" s="65"/>
      <c r="Y155" s="56"/>
      <c r="Z155" s="57"/>
      <c r="AA155" s="57"/>
      <c r="AB155" s="57"/>
      <c r="AC155" s="57"/>
      <c r="AD155" s="57"/>
      <c r="AE155" s="57"/>
      <c r="AF155" s="45"/>
      <c r="AG155" s="65"/>
      <c r="AH155" s="56"/>
      <c r="AI155" s="57"/>
      <c r="AJ155" s="57"/>
      <c r="AK155" s="57"/>
      <c r="AL155" s="57"/>
      <c r="AM155" s="57"/>
      <c r="AN155" s="57"/>
      <c r="AO155" s="45"/>
      <c r="AP155" s="65"/>
      <c r="AQ155" s="56"/>
      <c r="AR155" s="57"/>
      <c r="AS155" s="57"/>
      <c r="AT155" s="57"/>
      <c r="AU155" s="57"/>
      <c r="AV155" s="57"/>
      <c r="AW155" s="57"/>
      <c r="AX155" s="45"/>
      <c r="AY155" s="65"/>
      <c r="AZ155" s="56"/>
      <c r="BA155" s="55"/>
      <c r="BB155" s="55"/>
      <c r="BC155" s="55"/>
      <c r="BD155" s="55"/>
      <c r="BE155" s="55"/>
      <c r="BF155" s="55"/>
      <c r="BG155" s="45"/>
      <c r="BH155" s="65"/>
      <c r="BI155" s="55"/>
      <c r="BJ155" s="55"/>
      <c r="BK155" s="55"/>
      <c r="BL155" s="55"/>
      <c r="BM155" s="55"/>
      <c r="BN155" s="55"/>
      <c r="BO155" s="55"/>
      <c r="BP155" s="55"/>
      <c r="BQ155" s="65"/>
      <c r="BR155" s="55"/>
      <c r="BS155" s="55"/>
      <c r="BT155" s="55"/>
      <c r="BU155" s="55"/>
      <c r="BV155" s="55"/>
      <c r="BW155" s="55"/>
      <c r="BX155" s="55"/>
      <c r="BY155" s="55"/>
      <c r="BZ155" s="65"/>
      <c r="CA155" s="55"/>
      <c r="CB155" s="55"/>
      <c r="CC155" s="55"/>
      <c r="CD155" s="55"/>
      <c r="CE155" s="55"/>
      <c r="CF155" s="55"/>
      <c r="CG155" s="55"/>
      <c r="CH155" s="55"/>
      <c r="CI155" s="55"/>
    </row>
    <row r="156" spans="1:87">
      <c r="A156" s="12" t="str">
        <f>Roster!A156</f>
        <v/>
      </c>
      <c r="B156" s="28">
        <f>Roster!C156</f>
        <v>0</v>
      </c>
      <c r="C156" s="28" t="str">
        <f>IF(COUNTIFS(Table36103[[#This Row],[Continue Existing]:[Start New]], "TRUE")=0, "YES", "NO")</f>
        <v>YES</v>
      </c>
      <c r="D156" s="28" t="b">
        <f>COUNTIFS(Table36103[[#This Row],[Screening Results: Drug &amp; Alcohol Assessment 1]:[Other Reason 9]], "Continue with existing treatment services")&gt;0</f>
        <v>0</v>
      </c>
      <c r="E156" s="28" t="b">
        <f>COUNTIFS(Table36103[[#This Row],[Screening Results: Drug &amp; Alcohol Assessment 1]:[Other Reason 9]], "Start new service")&gt;0</f>
        <v>0</v>
      </c>
      <c r="F156" s="55"/>
      <c r="G156" s="56"/>
      <c r="H156" s="57"/>
      <c r="I156" s="57"/>
      <c r="J156" s="57"/>
      <c r="K156" s="57"/>
      <c r="L156" s="57"/>
      <c r="M156" s="57"/>
      <c r="N156" s="45"/>
      <c r="O156" s="58"/>
      <c r="P156" s="56"/>
      <c r="Q156" s="57"/>
      <c r="R156" s="57"/>
      <c r="S156" s="57"/>
      <c r="T156" s="57"/>
      <c r="U156" s="57"/>
      <c r="V156" s="57"/>
      <c r="W156" s="45"/>
      <c r="X156" s="65"/>
      <c r="Y156" s="56"/>
      <c r="Z156" s="57"/>
      <c r="AA156" s="57"/>
      <c r="AB156" s="57"/>
      <c r="AC156" s="57"/>
      <c r="AD156" s="57"/>
      <c r="AE156" s="57"/>
      <c r="AF156" s="45"/>
      <c r="AG156" s="65"/>
      <c r="AH156" s="56"/>
      <c r="AI156" s="57"/>
      <c r="AJ156" s="57"/>
      <c r="AK156" s="57"/>
      <c r="AL156" s="57"/>
      <c r="AM156" s="57"/>
      <c r="AN156" s="57"/>
      <c r="AO156" s="45"/>
      <c r="AP156" s="65"/>
      <c r="AQ156" s="56"/>
      <c r="AR156" s="57"/>
      <c r="AS156" s="57"/>
      <c r="AT156" s="57"/>
      <c r="AU156" s="57"/>
      <c r="AV156" s="57"/>
      <c r="AW156" s="57"/>
      <c r="AX156" s="45"/>
      <c r="AY156" s="65"/>
      <c r="AZ156" s="56"/>
      <c r="BA156" s="55"/>
      <c r="BB156" s="55"/>
      <c r="BC156" s="55"/>
      <c r="BD156" s="55"/>
      <c r="BE156" s="55"/>
      <c r="BF156" s="55"/>
      <c r="BG156" s="45"/>
      <c r="BH156" s="65"/>
      <c r="BI156" s="55"/>
      <c r="BJ156" s="55"/>
      <c r="BK156" s="55"/>
      <c r="BL156" s="55"/>
      <c r="BM156" s="55"/>
      <c r="BN156" s="55"/>
      <c r="BO156" s="55"/>
      <c r="BP156" s="55"/>
      <c r="BQ156" s="65"/>
      <c r="BR156" s="55"/>
      <c r="BS156" s="55"/>
      <c r="BT156" s="55"/>
      <c r="BU156" s="55"/>
      <c r="BV156" s="55"/>
      <c r="BW156" s="55"/>
      <c r="BX156" s="55"/>
      <c r="BY156" s="55"/>
      <c r="BZ156" s="65"/>
      <c r="CA156" s="55"/>
      <c r="CB156" s="55"/>
      <c r="CC156" s="55"/>
      <c r="CD156" s="55"/>
      <c r="CE156" s="55"/>
      <c r="CF156" s="55"/>
      <c r="CG156" s="55"/>
      <c r="CH156" s="55"/>
      <c r="CI156" s="55"/>
    </row>
    <row r="157" spans="1:87">
      <c r="A157" s="12" t="str">
        <f>Roster!A157</f>
        <v/>
      </c>
      <c r="B157" s="28">
        <f>Roster!C157</f>
        <v>0</v>
      </c>
      <c r="C157" s="28" t="str">
        <f>IF(COUNTIFS(Table36103[[#This Row],[Continue Existing]:[Start New]], "TRUE")=0, "YES", "NO")</f>
        <v>YES</v>
      </c>
      <c r="D157" s="28" t="b">
        <f>COUNTIFS(Table36103[[#This Row],[Screening Results: Drug &amp; Alcohol Assessment 1]:[Other Reason 9]], "Continue with existing treatment services")&gt;0</f>
        <v>0</v>
      </c>
      <c r="E157" s="28" t="b">
        <f>COUNTIFS(Table36103[[#This Row],[Screening Results: Drug &amp; Alcohol Assessment 1]:[Other Reason 9]], "Start new service")&gt;0</f>
        <v>0</v>
      </c>
      <c r="F157" s="55"/>
      <c r="G157" s="56"/>
      <c r="H157" s="57"/>
      <c r="I157" s="57"/>
      <c r="J157" s="57"/>
      <c r="K157" s="57"/>
      <c r="L157" s="57"/>
      <c r="M157" s="57"/>
      <c r="N157" s="45"/>
      <c r="O157" s="58"/>
      <c r="P157" s="56"/>
      <c r="Q157" s="57"/>
      <c r="R157" s="57"/>
      <c r="S157" s="57"/>
      <c r="T157" s="57"/>
      <c r="U157" s="57"/>
      <c r="V157" s="57"/>
      <c r="W157" s="45"/>
      <c r="X157" s="65"/>
      <c r="Y157" s="56"/>
      <c r="Z157" s="57"/>
      <c r="AA157" s="57"/>
      <c r="AB157" s="57"/>
      <c r="AC157" s="57"/>
      <c r="AD157" s="57"/>
      <c r="AE157" s="57"/>
      <c r="AF157" s="45"/>
      <c r="AG157" s="65"/>
      <c r="AH157" s="56"/>
      <c r="AI157" s="57"/>
      <c r="AJ157" s="57"/>
      <c r="AK157" s="57"/>
      <c r="AL157" s="57"/>
      <c r="AM157" s="57"/>
      <c r="AN157" s="57"/>
      <c r="AO157" s="45"/>
      <c r="AP157" s="65"/>
      <c r="AQ157" s="56"/>
      <c r="AR157" s="57"/>
      <c r="AS157" s="57"/>
      <c r="AT157" s="57"/>
      <c r="AU157" s="57"/>
      <c r="AV157" s="57"/>
      <c r="AW157" s="57"/>
      <c r="AX157" s="45"/>
      <c r="AY157" s="65"/>
      <c r="AZ157" s="56"/>
      <c r="BA157" s="55"/>
      <c r="BB157" s="55"/>
      <c r="BC157" s="55"/>
      <c r="BD157" s="55"/>
      <c r="BE157" s="55"/>
      <c r="BF157" s="55"/>
      <c r="BG157" s="45"/>
      <c r="BH157" s="65"/>
      <c r="BI157" s="55"/>
      <c r="BJ157" s="55"/>
      <c r="BK157" s="55"/>
      <c r="BL157" s="55"/>
      <c r="BM157" s="55"/>
      <c r="BN157" s="55"/>
      <c r="BO157" s="55"/>
      <c r="BP157" s="55"/>
      <c r="BQ157" s="65"/>
      <c r="BR157" s="55"/>
      <c r="BS157" s="55"/>
      <c r="BT157" s="55"/>
      <c r="BU157" s="55"/>
      <c r="BV157" s="55"/>
      <c r="BW157" s="55"/>
      <c r="BX157" s="55"/>
      <c r="BY157" s="55"/>
      <c r="BZ157" s="65"/>
      <c r="CA157" s="55"/>
      <c r="CB157" s="55"/>
      <c r="CC157" s="55"/>
      <c r="CD157" s="55"/>
      <c r="CE157" s="55"/>
      <c r="CF157" s="55"/>
      <c r="CG157" s="55"/>
      <c r="CH157" s="55"/>
      <c r="CI157" s="55"/>
    </row>
    <row r="158" spans="1:87">
      <c r="A158" s="12" t="str">
        <f>Roster!A158</f>
        <v/>
      </c>
      <c r="B158" s="28">
        <f>Roster!C158</f>
        <v>0</v>
      </c>
      <c r="C158" s="28" t="str">
        <f>IF(COUNTIFS(Table36103[[#This Row],[Continue Existing]:[Start New]], "TRUE")=0, "YES", "NO")</f>
        <v>YES</v>
      </c>
      <c r="D158" s="28" t="b">
        <f>COUNTIFS(Table36103[[#This Row],[Screening Results: Drug &amp; Alcohol Assessment 1]:[Other Reason 9]], "Continue with existing treatment services")&gt;0</f>
        <v>0</v>
      </c>
      <c r="E158" s="28" t="b">
        <f>COUNTIFS(Table36103[[#This Row],[Screening Results: Drug &amp; Alcohol Assessment 1]:[Other Reason 9]], "Start new service")&gt;0</f>
        <v>0</v>
      </c>
      <c r="F158" s="55"/>
      <c r="G158" s="56"/>
      <c r="H158" s="57"/>
      <c r="I158" s="57"/>
      <c r="J158" s="57"/>
      <c r="K158" s="57"/>
      <c r="L158" s="57"/>
      <c r="M158" s="57"/>
      <c r="N158" s="45"/>
      <c r="O158" s="58"/>
      <c r="P158" s="56"/>
      <c r="Q158" s="57"/>
      <c r="R158" s="57"/>
      <c r="S158" s="57"/>
      <c r="T158" s="57"/>
      <c r="U158" s="57"/>
      <c r="V158" s="57"/>
      <c r="W158" s="45"/>
      <c r="X158" s="65"/>
      <c r="Y158" s="56"/>
      <c r="Z158" s="57"/>
      <c r="AA158" s="57"/>
      <c r="AB158" s="57"/>
      <c r="AC158" s="57"/>
      <c r="AD158" s="57"/>
      <c r="AE158" s="57"/>
      <c r="AF158" s="45"/>
      <c r="AG158" s="65"/>
      <c r="AH158" s="56"/>
      <c r="AI158" s="57"/>
      <c r="AJ158" s="57"/>
      <c r="AK158" s="57"/>
      <c r="AL158" s="57"/>
      <c r="AM158" s="57"/>
      <c r="AN158" s="57"/>
      <c r="AO158" s="45"/>
      <c r="AP158" s="65"/>
      <c r="AQ158" s="56"/>
      <c r="AR158" s="57"/>
      <c r="AS158" s="57"/>
      <c r="AT158" s="57"/>
      <c r="AU158" s="57"/>
      <c r="AV158" s="57"/>
      <c r="AW158" s="57"/>
      <c r="AX158" s="45"/>
      <c r="AY158" s="65"/>
      <c r="AZ158" s="56"/>
      <c r="BA158" s="55"/>
      <c r="BB158" s="55"/>
      <c r="BC158" s="55"/>
      <c r="BD158" s="55"/>
      <c r="BE158" s="55"/>
      <c r="BF158" s="55"/>
      <c r="BG158" s="45"/>
      <c r="BH158" s="65"/>
      <c r="BI158" s="55"/>
      <c r="BJ158" s="55"/>
      <c r="BK158" s="55"/>
      <c r="BL158" s="55"/>
      <c r="BM158" s="55"/>
      <c r="BN158" s="55"/>
      <c r="BO158" s="55"/>
      <c r="BP158" s="55"/>
      <c r="BQ158" s="65"/>
      <c r="BR158" s="55"/>
      <c r="BS158" s="55"/>
      <c r="BT158" s="55"/>
      <c r="BU158" s="55"/>
      <c r="BV158" s="55"/>
      <c r="BW158" s="55"/>
      <c r="BX158" s="55"/>
      <c r="BY158" s="55"/>
      <c r="BZ158" s="65"/>
      <c r="CA158" s="55"/>
      <c r="CB158" s="55"/>
      <c r="CC158" s="55"/>
      <c r="CD158" s="55"/>
      <c r="CE158" s="55"/>
      <c r="CF158" s="55"/>
      <c r="CG158" s="55"/>
      <c r="CH158" s="55"/>
      <c r="CI158" s="55"/>
    </row>
    <row r="159" spans="1:87">
      <c r="A159" s="12" t="str">
        <f>Roster!A159</f>
        <v/>
      </c>
      <c r="B159" s="28">
        <f>Roster!C159</f>
        <v>0</v>
      </c>
      <c r="C159" s="28" t="str">
        <f>IF(COUNTIFS(Table36103[[#This Row],[Continue Existing]:[Start New]], "TRUE")=0, "YES", "NO")</f>
        <v>YES</v>
      </c>
      <c r="D159" s="28" t="b">
        <f>COUNTIFS(Table36103[[#This Row],[Screening Results: Drug &amp; Alcohol Assessment 1]:[Other Reason 9]], "Continue with existing treatment services")&gt;0</f>
        <v>0</v>
      </c>
      <c r="E159" s="28" t="b">
        <f>COUNTIFS(Table36103[[#This Row],[Screening Results: Drug &amp; Alcohol Assessment 1]:[Other Reason 9]], "Start new service")&gt;0</f>
        <v>0</v>
      </c>
      <c r="F159" s="55"/>
      <c r="G159" s="56"/>
      <c r="H159" s="57"/>
      <c r="I159" s="57"/>
      <c r="J159" s="57"/>
      <c r="K159" s="57"/>
      <c r="L159" s="57"/>
      <c r="M159" s="57"/>
      <c r="N159" s="45"/>
      <c r="O159" s="58"/>
      <c r="P159" s="56"/>
      <c r="Q159" s="57"/>
      <c r="R159" s="57"/>
      <c r="S159" s="57"/>
      <c r="T159" s="57"/>
      <c r="U159" s="57"/>
      <c r="V159" s="57"/>
      <c r="W159" s="45"/>
      <c r="X159" s="65"/>
      <c r="Y159" s="56"/>
      <c r="Z159" s="57"/>
      <c r="AA159" s="57"/>
      <c r="AB159" s="57"/>
      <c r="AC159" s="57"/>
      <c r="AD159" s="57"/>
      <c r="AE159" s="57"/>
      <c r="AF159" s="45"/>
      <c r="AG159" s="65"/>
      <c r="AH159" s="56"/>
      <c r="AI159" s="57"/>
      <c r="AJ159" s="57"/>
      <c r="AK159" s="57"/>
      <c r="AL159" s="57"/>
      <c r="AM159" s="57"/>
      <c r="AN159" s="57"/>
      <c r="AO159" s="45"/>
      <c r="AP159" s="65"/>
      <c r="AQ159" s="56"/>
      <c r="AR159" s="57"/>
      <c r="AS159" s="57"/>
      <c r="AT159" s="57"/>
      <c r="AU159" s="57"/>
      <c r="AV159" s="57"/>
      <c r="AW159" s="57"/>
      <c r="AX159" s="45"/>
      <c r="AY159" s="65"/>
      <c r="AZ159" s="56"/>
      <c r="BA159" s="55"/>
      <c r="BB159" s="55"/>
      <c r="BC159" s="55"/>
      <c r="BD159" s="55"/>
      <c r="BE159" s="55"/>
      <c r="BF159" s="55"/>
      <c r="BG159" s="45"/>
      <c r="BH159" s="65"/>
      <c r="BI159" s="55"/>
      <c r="BJ159" s="55"/>
      <c r="BK159" s="55"/>
      <c r="BL159" s="55"/>
      <c r="BM159" s="55"/>
      <c r="BN159" s="55"/>
      <c r="BO159" s="55"/>
      <c r="BP159" s="55"/>
      <c r="BQ159" s="65"/>
      <c r="BR159" s="55"/>
      <c r="BS159" s="55"/>
      <c r="BT159" s="55"/>
      <c r="BU159" s="55"/>
      <c r="BV159" s="55"/>
      <c r="BW159" s="55"/>
      <c r="BX159" s="55"/>
      <c r="BY159" s="55"/>
      <c r="BZ159" s="65"/>
      <c r="CA159" s="55"/>
      <c r="CB159" s="55"/>
      <c r="CC159" s="55"/>
      <c r="CD159" s="55"/>
      <c r="CE159" s="55"/>
      <c r="CF159" s="55"/>
      <c r="CG159" s="55"/>
      <c r="CH159" s="55"/>
      <c r="CI159" s="55"/>
    </row>
    <row r="160" spans="1:87">
      <c r="A160" s="12" t="str">
        <f>Roster!A160</f>
        <v/>
      </c>
      <c r="B160" s="28">
        <f>Roster!C160</f>
        <v>0</v>
      </c>
      <c r="C160" s="28" t="str">
        <f>IF(COUNTIFS(Table36103[[#This Row],[Continue Existing]:[Start New]], "TRUE")=0, "YES", "NO")</f>
        <v>YES</v>
      </c>
      <c r="D160" s="28" t="b">
        <f>COUNTIFS(Table36103[[#This Row],[Screening Results: Drug &amp; Alcohol Assessment 1]:[Other Reason 9]], "Continue with existing treatment services")&gt;0</f>
        <v>0</v>
      </c>
      <c r="E160" s="28" t="b">
        <f>COUNTIFS(Table36103[[#This Row],[Screening Results: Drug &amp; Alcohol Assessment 1]:[Other Reason 9]], "Start new service")&gt;0</f>
        <v>0</v>
      </c>
      <c r="F160" s="55"/>
      <c r="G160" s="56"/>
      <c r="H160" s="57"/>
      <c r="I160" s="57"/>
      <c r="J160" s="57"/>
      <c r="K160" s="57"/>
      <c r="L160" s="57"/>
      <c r="M160" s="57"/>
      <c r="N160" s="45"/>
      <c r="O160" s="58"/>
      <c r="P160" s="56"/>
      <c r="Q160" s="57"/>
      <c r="R160" s="57"/>
      <c r="S160" s="57"/>
      <c r="T160" s="57"/>
      <c r="U160" s="57"/>
      <c r="V160" s="57"/>
      <c r="W160" s="45"/>
      <c r="X160" s="65"/>
      <c r="Y160" s="56"/>
      <c r="Z160" s="57"/>
      <c r="AA160" s="57"/>
      <c r="AB160" s="57"/>
      <c r="AC160" s="57"/>
      <c r="AD160" s="57"/>
      <c r="AE160" s="57"/>
      <c r="AF160" s="45"/>
      <c r="AG160" s="65"/>
      <c r="AH160" s="56"/>
      <c r="AI160" s="57"/>
      <c r="AJ160" s="57"/>
      <c r="AK160" s="57"/>
      <c r="AL160" s="57"/>
      <c r="AM160" s="57"/>
      <c r="AN160" s="57"/>
      <c r="AO160" s="45"/>
      <c r="AP160" s="65"/>
      <c r="AQ160" s="56"/>
      <c r="AR160" s="57"/>
      <c r="AS160" s="57"/>
      <c r="AT160" s="57"/>
      <c r="AU160" s="57"/>
      <c r="AV160" s="57"/>
      <c r="AW160" s="57"/>
      <c r="AX160" s="45"/>
      <c r="AY160" s="65"/>
      <c r="AZ160" s="56"/>
      <c r="BA160" s="55"/>
      <c r="BB160" s="55"/>
      <c r="BC160" s="55"/>
      <c r="BD160" s="55"/>
      <c r="BE160" s="55"/>
      <c r="BF160" s="55"/>
      <c r="BG160" s="45"/>
      <c r="BH160" s="65"/>
      <c r="BI160" s="55"/>
      <c r="BJ160" s="55"/>
      <c r="BK160" s="55"/>
      <c r="BL160" s="55"/>
      <c r="BM160" s="55"/>
      <c r="BN160" s="55"/>
      <c r="BO160" s="55"/>
      <c r="BP160" s="55"/>
      <c r="BQ160" s="65"/>
      <c r="BR160" s="55"/>
      <c r="BS160" s="55"/>
      <c r="BT160" s="55"/>
      <c r="BU160" s="55"/>
      <c r="BV160" s="55"/>
      <c r="BW160" s="55"/>
      <c r="BX160" s="55"/>
      <c r="BY160" s="55"/>
      <c r="BZ160" s="65"/>
      <c r="CA160" s="55"/>
      <c r="CB160" s="55"/>
      <c r="CC160" s="55"/>
      <c r="CD160" s="55"/>
      <c r="CE160" s="55"/>
      <c r="CF160" s="55"/>
      <c r="CG160" s="55"/>
      <c r="CH160" s="55"/>
      <c r="CI160" s="55"/>
    </row>
    <row r="161" spans="1:87">
      <c r="A161" s="12" t="str">
        <f>Roster!A161</f>
        <v/>
      </c>
      <c r="B161" s="28">
        <f>Roster!C161</f>
        <v>0</v>
      </c>
      <c r="C161" s="28" t="str">
        <f>IF(COUNTIFS(Table36103[[#This Row],[Continue Existing]:[Start New]], "TRUE")=0, "YES", "NO")</f>
        <v>YES</v>
      </c>
      <c r="D161" s="28" t="b">
        <f>COUNTIFS(Table36103[[#This Row],[Screening Results: Drug &amp; Alcohol Assessment 1]:[Other Reason 9]], "Continue with existing treatment services")&gt;0</f>
        <v>0</v>
      </c>
      <c r="E161" s="28" t="b">
        <f>COUNTIFS(Table36103[[#This Row],[Screening Results: Drug &amp; Alcohol Assessment 1]:[Other Reason 9]], "Start new service")&gt;0</f>
        <v>0</v>
      </c>
      <c r="F161" s="55"/>
      <c r="G161" s="56"/>
      <c r="H161" s="57"/>
      <c r="I161" s="57"/>
      <c r="J161" s="57"/>
      <c r="K161" s="57"/>
      <c r="L161" s="57"/>
      <c r="M161" s="57"/>
      <c r="N161" s="45"/>
      <c r="O161" s="58"/>
      <c r="P161" s="56"/>
      <c r="Q161" s="57"/>
      <c r="R161" s="57"/>
      <c r="S161" s="57"/>
      <c r="T161" s="57"/>
      <c r="U161" s="57"/>
      <c r="V161" s="57"/>
      <c r="W161" s="45"/>
      <c r="X161" s="65"/>
      <c r="Y161" s="56"/>
      <c r="Z161" s="57"/>
      <c r="AA161" s="57"/>
      <c r="AB161" s="57"/>
      <c r="AC161" s="57"/>
      <c r="AD161" s="57"/>
      <c r="AE161" s="57"/>
      <c r="AF161" s="45"/>
      <c r="AG161" s="65"/>
      <c r="AH161" s="56"/>
      <c r="AI161" s="57"/>
      <c r="AJ161" s="57"/>
      <c r="AK161" s="57"/>
      <c r="AL161" s="57"/>
      <c r="AM161" s="57"/>
      <c r="AN161" s="57"/>
      <c r="AO161" s="45"/>
      <c r="AP161" s="65"/>
      <c r="AQ161" s="56"/>
      <c r="AR161" s="57"/>
      <c r="AS161" s="57"/>
      <c r="AT161" s="57"/>
      <c r="AU161" s="57"/>
      <c r="AV161" s="57"/>
      <c r="AW161" s="57"/>
      <c r="AX161" s="45"/>
      <c r="AY161" s="65"/>
      <c r="AZ161" s="56"/>
      <c r="BA161" s="55"/>
      <c r="BB161" s="55"/>
      <c r="BC161" s="55"/>
      <c r="BD161" s="55"/>
      <c r="BE161" s="55"/>
      <c r="BF161" s="55"/>
      <c r="BG161" s="45"/>
      <c r="BH161" s="65"/>
      <c r="BI161" s="55"/>
      <c r="BJ161" s="55"/>
      <c r="BK161" s="55"/>
      <c r="BL161" s="55"/>
      <c r="BM161" s="55"/>
      <c r="BN161" s="55"/>
      <c r="BO161" s="55"/>
      <c r="BP161" s="55"/>
      <c r="BQ161" s="65"/>
      <c r="BR161" s="55"/>
      <c r="BS161" s="55"/>
      <c r="BT161" s="55"/>
      <c r="BU161" s="55"/>
      <c r="BV161" s="55"/>
      <c r="BW161" s="55"/>
      <c r="BX161" s="55"/>
      <c r="BY161" s="55"/>
      <c r="BZ161" s="65"/>
      <c r="CA161" s="55"/>
      <c r="CB161" s="55"/>
      <c r="CC161" s="55"/>
      <c r="CD161" s="55"/>
      <c r="CE161" s="55"/>
      <c r="CF161" s="55"/>
      <c r="CG161" s="55"/>
      <c r="CH161" s="55"/>
      <c r="CI161" s="55"/>
    </row>
    <row r="162" spans="1:87">
      <c r="A162" s="12" t="str">
        <f>Roster!A162</f>
        <v/>
      </c>
      <c r="B162" s="28">
        <f>Roster!C162</f>
        <v>0</v>
      </c>
      <c r="C162" s="28" t="str">
        <f>IF(COUNTIFS(Table36103[[#This Row],[Continue Existing]:[Start New]], "TRUE")=0, "YES", "NO")</f>
        <v>YES</v>
      </c>
      <c r="D162" s="28" t="b">
        <f>COUNTIFS(Table36103[[#This Row],[Screening Results: Drug &amp; Alcohol Assessment 1]:[Other Reason 9]], "Continue with existing treatment services")&gt;0</f>
        <v>0</v>
      </c>
      <c r="E162" s="28" t="b">
        <f>COUNTIFS(Table36103[[#This Row],[Screening Results: Drug &amp; Alcohol Assessment 1]:[Other Reason 9]], "Start new service")&gt;0</f>
        <v>0</v>
      </c>
      <c r="F162" s="55"/>
      <c r="G162" s="56"/>
      <c r="H162" s="57"/>
      <c r="I162" s="57"/>
      <c r="J162" s="57"/>
      <c r="K162" s="57"/>
      <c r="L162" s="57"/>
      <c r="M162" s="57"/>
      <c r="N162" s="45"/>
      <c r="O162" s="58"/>
      <c r="P162" s="56"/>
      <c r="Q162" s="57"/>
      <c r="R162" s="57"/>
      <c r="S162" s="57"/>
      <c r="T162" s="57"/>
      <c r="U162" s="57"/>
      <c r="V162" s="57"/>
      <c r="W162" s="45"/>
      <c r="X162" s="65"/>
      <c r="Y162" s="56"/>
      <c r="Z162" s="57"/>
      <c r="AA162" s="57"/>
      <c r="AB162" s="57"/>
      <c r="AC162" s="57"/>
      <c r="AD162" s="57"/>
      <c r="AE162" s="57"/>
      <c r="AF162" s="45"/>
      <c r="AG162" s="65"/>
      <c r="AH162" s="56"/>
      <c r="AI162" s="57"/>
      <c r="AJ162" s="57"/>
      <c r="AK162" s="57"/>
      <c r="AL162" s="57"/>
      <c r="AM162" s="57"/>
      <c r="AN162" s="57"/>
      <c r="AO162" s="45"/>
      <c r="AP162" s="65"/>
      <c r="AQ162" s="56"/>
      <c r="AR162" s="57"/>
      <c r="AS162" s="57"/>
      <c r="AT162" s="57"/>
      <c r="AU162" s="57"/>
      <c r="AV162" s="57"/>
      <c r="AW162" s="57"/>
      <c r="AX162" s="45"/>
      <c r="AY162" s="65"/>
      <c r="AZ162" s="56"/>
      <c r="BA162" s="55"/>
      <c r="BB162" s="55"/>
      <c r="BC162" s="55"/>
      <c r="BD162" s="55"/>
      <c r="BE162" s="55"/>
      <c r="BF162" s="55"/>
      <c r="BG162" s="45"/>
      <c r="BH162" s="65"/>
      <c r="BI162" s="55"/>
      <c r="BJ162" s="55"/>
      <c r="BK162" s="55"/>
      <c r="BL162" s="55"/>
      <c r="BM162" s="55"/>
      <c r="BN162" s="55"/>
      <c r="BO162" s="55"/>
      <c r="BP162" s="55"/>
      <c r="BQ162" s="65"/>
      <c r="BR162" s="55"/>
      <c r="BS162" s="55"/>
      <c r="BT162" s="55"/>
      <c r="BU162" s="55"/>
      <c r="BV162" s="55"/>
      <c r="BW162" s="55"/>
      <c r="BX162" s="55"/>
      <c r="BY162" s="55"/>
      <c r="BZ162" s="65"/>
      <c r="CA162" s="55"/>
      <c r="CB162" s="55"/>
      <c r="CC162" s="55"/>
      <c r="CD162" s="55"/>
      <c r="CE162" s="55"/>
      <c r="CF162" s="55"/>
      <c r="CG162" s="55"/>
      <c r="CH162" s="55"/>
      <c r="CI162" s="55"/>
    </row>
    <row r="163" spans="1:87">
      <c r="A163" s="12" t="str">
        <f>Roster!A163</f>
        <v/>
      </c>
      <c r="B163" s="28">
        <f>Roster!C163</f>
        <v>0</v>
      </c>
      <c r="C163" s="28" t="str">
        <f>IF(COUNTIFS(Table36103[[#This Row],[Continue Existing]:[Start New]], "TRUE")=0, "YES", "NO")</f>
        <v>YES</v>
      </c>
      <c r="D163" s="28" t="b">
        <f>COUNTIFS(Table36103[[#This Row],[Screening Results: Drug &amp; Alcohol Assessment 1]:[Other Reason 9]], "Continue with existing treatment services")&gt;0</f>
        <v>0</v>
      </c>
      <c r="E163" s="28" t="b">
        <f>COUNTIFS(Table36103[[#This Row],[Screening Results: Drug &amp; Alcohol Assessment 1]:[Other Reason 9]], "Start new service")&gt;0</f>
        <v>0</v>
      </c>
      <c r="F163" s="55"/>
      <c r="G163" s="56"/>
      <c r="H163" s="57"/>
      <c r="I163" s="57"/>
      <c r="J163" s="57"/>
      <c r="K163" s="57"/>
      <c r="L163" s="57"/>
      <c r="M163" s="57"/>
      <c r="N163" s="45"/>
      <c r="O163" s="58"/>
      <c r="P163" s="56"/>
      <c r="Q163" s="57"/>
      <c r="R163" s="57"/>
      <c r="S163" s="57"/>
      <c r="T163" s="57"/>
      <c r="U163" s="57"/>
      <c r="V163" s="57"/>
      <c r="W163" s="45"/>
      <c r="X163" s="65"/>
      <c r="Y163" s="56"/>
      <c r="Z163" s="57"/>
      <c r="AA163" s="57"/>
      <c r="AB163" s="57"/>
      <c r="AC163" s="57"/>
      <c r="AD163" s="57"/>
      <c r="AE163" s="57"/>
      <c r="AF163" s="45"/>
      <c r="AG163" s="65"/>
      <c r="AH163" s="56"/>
      <c r="AI163" s="57"/>
      <c r="AJ163" s="57"/>
      <c r="AK163" s="57"/>
      <c r="AL163" s="57"/>
      <c r="AM163" s="57"/>
      <c r="AN163" s="57"/>
      <c r="AO163" s="45"/>
      <c r="AP163" s="65"/>
      <c r="AQ163" s="56"/>
      <c r="AR163" s="57"/>
      <c r="AS163" s="57"/>
      <c r="AT163" s="57"/>
      <c r="AU163" s="57"/>
      <c r="AV163" s="57"/>
      <c r="AW163" s="57"/>
      <c r="AX163" s="45"/>
      <c r="AY163" s="65"/>
      <c r="AZ163" s="56"/>
      <c r="BA163" s="55"/>
      <c r="BB163" s="55"/>
      <c r="BC163" s="55"/>
      <c r="BD163" s="55"/>
      <c r="BE163" s="55"/>
      <c r="BF163" s="55"/>
      <c r="BG163" s="45"/>
      <c r="BH163" s="65"/>
      <c r="BI163" s="55"/>
      <c r="BJ163" s="55"/>
      <c r="BK163" s="55"/>
      <c r="BL163" s="55"/>
      <c r="BM163" s="55"/>
      <c r="BN163" s="55"/>
      <c r="BO163" s="55"/>
      <c r="BP163" s="55"/>
      <c r="BQ163" s="65"/>
      <c r="BR163" s="55"/>
      <c r="BS163" s="55"/>
      <c r="BT163" s="55"/>
      <c r="BU163" s="55"/>
      <c r="BV163" s="55"/>
      <c r="BW163" s="55"/>
      <c r="BX163" s="55"/>
      <c r="BY163" s="55"/>
      <c r="BZ163" s="65"/>
      <c r="CA163" s="55"/>
      <c r="CB163" s="55"/>
      <c r="CC163" s="55"/>
      <c r="CD163" s="55"/>
      <c r="CE163" s="55"/>
      <c r="CF163" s="55"/>
      <c r="CG163" s="55"/>
      <c r="CH163" s="55"/>
      <c r="CI163" s="55"/>
    </row>
    <row r="164" spans="1:87">
      <c r="A164" s="12" t="str">
        <f>Roster!A164</f>
        <v/>
      </c>
      <c r="B164" s="28">
        <f>Roster!C164</f>
        <v>0</v>
      </c>
      <c r="C164" s="28" t="str">
        <f>IF(COUNTIFS(Table36103[[#This Row],[Continue Existing]:[Start New]], "TRUE")=0, "YES", "NO")</f>
        <v>YES</v>
      </c>
      <c r="D164" s="28" t="b">
        <f>COUNTIFS(Table36103[[#This Row],[Screening Results: Drug &amp; Alcohol Assessment 1]:[Other Reason 9]], "Continue with existing treatment services")&gt;0</f>
        <v>0</v>
      </c>
      <c r="E164" s="28" t="b">
        <f>COUNTIFS(Table36103[[#This Row],[Screening Results: Drug &amp; Alcohol Assessment 1]:[Other Reason 9]], "Start new service")&gt;0</f>
        <v>0</v>
      </c>
      <c r="F164" s="55"/>
      <c r="G164" s="56"/>
      <c r="H164" s="57"/>
      <c r="I164" s="57"/>
      <c r="J164" s="57"/>
      <c r="K164" s="57"/>
      <c r="L164" s="57"/>
      <c r="M164" s="57"/>
      <c r="N164" s="45"/>
      <c r="O164" s="58"/>
      <c r="P164" s="56"/>
      <c r="Q164" s="57"/>
      <c r="R164" s="57"/>
      <c r="S164" s="57"/>
      <c r="T164" s="57"/>
      <c r="U164" s="57"/>
      <c r="V164" s="57"/>
      <c r="W164" s="45"/>
      <c r="X164" s="65"/>
      <c r="Y164" s="56"/>
      <c r="Z164" s="57"/>
      <c r="AA164" s="57"/>
      <c r="AB164" s="57"/>
      <c r="AC164" s="57"/>
      <c r="AD164" s="57"/>
      <c r="AE164" s="57"/>
      <c r="AF164" s="45"/>
      <c r="AG164" s="65"/>
      <c r="AH164" s="56"/>
      <c r="AI164" s="57"/>
      <c r="AJ164" s="57"/>
      <c r="AK164" s="57"/>
      <c r="AL164" s="57"/>
      <c r="AM164" s="57"/>
      <c r="AN164" s="57"/>
      <c r="AO164" s="45"/>
      <c r="AP164" s="65"/>
      <c r="AQ164" s="56"/>
      <c r="AR164" s="57"/>
      <c r="AS164" s="57"/>
      <c r="AT164" s="57"/>
      <c r="AU164" s="57"/>
      <c r="AV164" s="57"/>
      <c r="AW164" s="57"/>
      <c r="AX164" s="45"/>
      <c r="AY164" s="65"/>
      <c r="AZ164" s="56"/>
      <c r="BA164" s="55"/>
      <c r="BB164" s="55"/>
      <c r="BC164" s="55"/>
      <c r="BD164" s="55"/>
      <c r="BE164" s="55"/>
      <c r="BF164" s="55"/>
      <c r="BG164" s="45"/>
      <c r="BH164" s="65"/>
      <c r="BI164" s="55"/>
      <c r="BJ164" s="55"/>
      <c r="BK164" s="55"/>
      <c r="BL164" s="55"/>
      <c r="BM164" s="55"/>
      <c r="BN164" s="55"/>
      <c r="BO164" s="55"/>
      <c r="BP164" s="55"/>
      <c r="BQ164" s="65"/>
      <c r="BR164" s="55"/>
      <c r="BS164" s="55"/>
      <c r="BT164" s="55"/>
      <c r="BU164" s="55"/>
      <c r="BV164" s="55"/>
      <c r="BW164" s="55"/>
      <c r="BX164" s="55"/>
      <c r="BY164" s="55"/>
      <c r="BZ164" s="65"/>
      <c r="CA164" s="55"/>
      <c r="CB164" s="55"/>
      <c r="CC164" s="55"/>
      <c r="CD164" s="55"/>
      <c r="CE164" s="55"/>
      <c r="CF164" s="55"/>
      <c r="CG164" s="55"/>
      <c r="CH164" s="55"/>
      <c r="CI164" s="55"/>
    </row>
    <row r="165" spans="1:87">
      <c r="A165" s="12" t="str">
        <f>Roster!A165</f>
        <v/>
      </c>
      <c r="B165" s="28">
        <f>Roster!C165</f>
        <v>0</v>
      </c>
      <c r="C165" s="28" t="str">
        <f>IF(COUNTIFS(Table36103[[#This Row],[Continue Existing]:[Start New]], "TRUE")=0, "YES", "NO")</f>
        <v>YES</v>
      </c>
      <c r="D165" s="28" t="b">
        <f>COUNTIFS(Table36103[[#This Row],[Screening Results: Drug &amp; Alcohol Assessment 1]:[Other Reason 9]], "Continue with existing treatment services")&gt;0</f>
        <v>0</v>
      </c>
      <c r="E165" s="28" t="b">
        <f>COUNTIFS(Table36103[[#This Row],[Screening Results: Drug &amp; Alcohol Assessment 1]:[Other Reason 9]], "Start new service")&gt;0</f>
        <v>0</v>
      </c>
      <c r="F165" s="55"/>
      <c r="G165" s="56"/>
      <c r="H165" s="57"/>
      <c r="I165" s="57"/>
      <c r="J165" s="57"/>
      <c r="K165" s="57"/>
      <c r="L165" s="57"/>
      <c r="M165" s="57"/>
      <c r="N165" s="45"/>
      <c r="O165" s="58"/>
      <c r="P165" s="56"/>
      <c r="Q165" s="57"/>
      <c r="R165" s="57"/>
      <c r="S165" s="57"/>
      <c r="T165" s="57"/>
      <c r="U165" s="57"/>
      <c r="V165" s="57"/>
      <c r="W165" s="45"/>
      <c r="X165" s="65"/>
      <c r="Y165" s="56"/>
      <c r="Z165" s="57"/>
      <c r="AA165" s="57"/>
      <c r="AB165" s="57"/>
      <c r="AC165" s="57"/>
      <c r="AD165" s="57"/>
      <c r="AE165" s="57"/>
      <c r="AF165" s="45"/>
      <c r="AG165" s="65"/>
      <c r="AH165" s="56"/>
      <c r="AI165" s="57"/>
      <c r="AJ165" s="57"/>
      <c r="AK165" s="57"/>
      <c r="AL165" s="57"/>
      <c r="AM165" s="57"/>
      <c r="AN165" s="57"/>
      <c r="AO165" s="45"/>
      <c r="AP165" s="65"/>
      <c r="AQ165" s="56"/>
      <c r="AR165" s="57"/>
      <c r="AS165" s="57"/>
      <c r="AT165" s="57"/>
      <c r="AU165" s="57"/>
      <c r="AV165" s="57"/>
      <c r="AW165" s="57"/>
      <c r="AX165" s="45"/>
      <c r="AY165" s="65"/>
      <c r="AZ165" s="56"/>
      <c r="BA165" s="55"/>
      <c r="BB165" s="55"/>
      <c r="BC165" s="55"/>
      <c r="BD165" s="55"/>
      <c r="BE165" s="55"/>
      <c r="BF165" s="55"/>
      <c r="BG165" s="45"/>
      <c r="BH165" s="65"/>
      <c r="BI165" s="55"/>
      <c r="BJ165" s="55"/>
      <c r="BK165" s="55"/>
      <c r="BL165" s="55"/>
      <c r="BM165" s="55"/>
      <c r="BN165" s="55"/>
      <c r="BO165" s="55"/>
      <c r="BP165" s="55"/>
      <c r="BQ165" s="65"/>
      <c r="BR165" s="55"/>
      <c r="BS165" s="55"/>
      <c r="BT165" s="55"/>
      <c r="BU165" s="55"/>
      <c r="BV165" s="55"/>
      <c r="BW165" s="55"/>
      <c r="BX165" s="55"/>
      <c r="BY165" s="55"/>
      <c r="BZ165" s="65"/>
      <c r="CA165" s="55"/>
      <c r="CB165" s="55"/>
      <c r="CC165" s="55"/>
      <c r="CD165" s="55"/>
      <c r="CE165" s="55"/>
      <c r="CF165" s="55"/>
      <c r="CG165" s="55"/>
      <c r="CH165" s="55"/>
      <c r="CI165" s="55"/>
    </row>
    <row r="166" spans="1:87">
      <c r="A166" s="12" t="str">
        <f>Roster!A166</f>
        <v/>
      </c>
      <c r="B166" s="28">
        <f>Roster!C166</f>
        <v>0</v>
      </c>
      <c r="C166" s="28" t="str">
        <f>IF(COUNTIFS(Table36103[[#This Row],[Continue Existing]:[Start New]], "TRUE")=0, "YES", "NO")</f>
        <v>YES</v>
      </c>
      <c r="D166" s="28" t="b">
        <f>COUNTIFS(Table36103[[#This Row],[Screening Results: Drug &amp; Alcohol Assessment 1]:[Other Reason 9]], "Continue with existing treatment services")&gt;0</f>
        <v>0</v>
      </c>
      <c r="E166" s="28" t="b">
        <f>COUNTIFS(Table36103[[#This Row],[Screening Results: Drug &amp; Alcohol Assessment 1]:[Other Reason 9]], "Start new service")&gt;0</f>
        <v>0</v>
      </c>
      <c r="F166" s="55"/>
      <c r="G166" s="56"/>
      <c r="H166" s="57"/>
      <c r="I166" s="57"/>
      <c r="J166" s="57"/>
      <c r="K166" s="57"/>
      <c r="L166" s="57"/>
      <c r="M166" s="57"/>
      <c r="N166" s="45"/>
      <c r="O166" s="58"/>
      <c r="P166" s="56"/>
      <c r="Q166" s="57"/>
      <c r="R166" s="57"/>
      <c r="S166" s="57"/>
      <c r="T166" s="57"/>
      <c r="U166" s="57"/>
      <c r="V166" s="57"/>
      <c r="W166" s="45"/>
      <c r="X166" s="65"/>
      <c r="Y166" s="56"/>
      <c r="Z166" s="57"/>
      <c r="AA166" s="57"/>
      <c r="AB166" s="57"/>
      <c r="AC166" s="57"/>
      <c r="AD166" s="57"/>
      <c r="AE166" s="57"/>
      <c r="AF166" s="45"/>
      <c r="AG166" s="65"/>
      <c r="AH166" s="56"/>
      <c r="AI166" s="57"/>
      <c r="AJ166" s="57"/>
      <c r="AK166" s="57"/>
      <c r="AL166" s="57"/>
      <c r="AM166" s="57"/>
      <c r="AN166" s="57"/>
      <c r="AO166" s="45"/>
      <c r="AP166" s="65"/>
      <c r="AQ166" s="56"/>
      <c r="AR166" s="57"/>
      <c r="AS166" s="57"/>
      <c r="AT166" s="57"/>
      <c r="AU166" s="57"/>
      <c r="AV166" s="57"/>
      <c r="AW166" s="57"/>
      <c r="AX166" s="45"/>
      <c r="AY166" s="65"/>
      <c r="AZ166" s="56"/>
      <c r="BA166" s="55"/>
      <c r="BB166" s="55"/>
      <c r="BC166" s="55"/>
      <c r="BD166" s="55"/>
      <c r="BE166" s="55"/>
      <c r="BF166" s="55"/>
      <c r="BG166" s="45"/>
      <c r="BH166" s="65"/>
      <c r="BI166" s="55"/>
      <c r="BJ166" s="55"/>
      <c r="BK166" s="55"/>
      <c r="BL166" s="55"/>
      <c r="BM166" s="55"/>
      <c r="BN166" s="55"/>
      <c r="BO166" s="55"/>
      <c r="BP166" s="55"/>
      <c r="BQ166" s="65"/>
      <c r="BR166" s="55"/>
      <c r="BS166" s="55"/>
      <c r="BT166" s="55"/>
      <c r="BU166" s="55"/>
      <c r="BV166" s="55"/>
      <c r="BW166" s="55"/>
      <c r="BX166" s="55"/>
      <c r="BY166" s="55"/>
      <c r="BZ166" s="65"/>
      <c r="CA166" s="55"/>
      <c r="CB166" s="55"/>
      <c r="CC166" s="55"/>
      <c r="CD166" s="55"/>
      <c r="CE166" s="55"/>
      <c r="CF166" s="55"/>
      <c r="CG166" s="55"/>
      <c r="CH166" s="55"/>
      <c r="CI166" s="55"/>
    </row>
    <row r="167" spans="1:87">
      <c r="A167" s="12" t="str">
        <f>Roster!A167</f>
        <v/>
      </c>
      <c r="B167" s="28">
        <f>Roster!C167</f>
        <v>0</v>
      </c>
      <c r="C167" s="28" t="str">
        <f>IF(COUNTIFS(Table36103[[#This Row],[Continue Existing]:[Start New]], "TRUE")=0, "YES", "NO")</f>
        <v>YES</v>
      </c>
      <c r="D167" s="28" t="b">
        <f>COUNTIFS(Table36103[[#This Row],[Screening Results: Drug &amp; Alcohol Assessment 1]:[Other Reason 9]], "Continue with existing treatment services")&gt;0</f>
        <v>0</v>
      </c>
      <c r="E167" s="28" t="b">
        <f>COUNTIFS(Table36103[[#This Row],[Screening Results: Drug &amp; Alcohol Assessment 1]:[Other Reason 9]], "Start new service")&gt;0</f>
        <v>0</v>
      </c>
      <c r="F167" s="55"/>
      <c r="G167" s="56"/>
      <c r="H167" s="57"/>
      <c r="I167" s="57"/>
      <c r="J167" s="57"/>
      <c r="K167" s="57"/>
      <c r="L167" s="57"/>
      <c r="M167" s="57"/>
      <c r="N167" s="45"/>
      <c r="O167" s="58"/>
      <c r="P167" s="56"/>
      <c r="Q167" s="57"/>
      <c r="R167" s="57"/>
      <c r="S167" s="57"/>
      <c r="T167" s="57"/>
      <c r="U167" s="57"/>
      <c r="V167" s="57"/>
      <c r="W167" s="45"/>
      <c r="X167" s="65"/>
      <c r="Y167" s="56"/>
      <c r="Z167" s="57"/>
      <c r="AA167" s="57"/>
      <c r="AB167" s="57"/>
      <c r="AC167" s="57"/>
      <c r="AD167" s="57"/>
      <c r="AE167" s="57"/>
      <c r="AF167" s="45"/>
      <c r="AG167" s="65"/>
      <c r="AH167" s="56"/>
      <c r="AI167" s="57"/>
      <c r="AJ167" s="57"/>
      <c r="AK167" s="57"/>
      <c r="AL167" s="57"/>
      <c r="AM167" s="57"/>
      <c r="AN167" s="57"/>
      <c r="AO167" s="45"/>
      <c r="AP167" s="65"/>
      <c r="AQ167" s="56"/>
      <c r="AR167" s="57"/>
      <c r="AS167" s="57"/>
      <c r="AT167" s="57"/>
      <c r="AU167" s="57"/>
      <c r="AV167" s="57"/>
      <c r="AW167" s="57"/>
      <c r="AX167" s="45"/>
      <c r="AY167" s="65"/>
      <c r="AZ167" s="56"/>
      <c r="BA167" s="55"/>
      <c r="BB167" s="55"/>
      <c r="BC167" s="55"/>
      <c r="BD167" s="55"/>
      <c r="BE167" s="55"/>
      <c r="BF167" s="55"/>
      <c r="BG167" s="45"/>
      <c r="BH167" s="65"/>
      <c r="BI167" s="55"/>
      <c r="BJ167" s="55"/>
      <c r="BK167" s="55"/>
      <c r="BL167" s="55"/>
      <c r="BM167" s="55"/>
      <c r="BN167" s="55"/>
      <c r="BO167" s="55"/>
      <c r="BP167" s="55"/>
      <c r="BQ167" s="65"/>
      <c r="BR167" s="55"/>
      <c r="BS167" s="55"/>
      <c r="BT167" s="55"/>
      <c r="BU167" s="55"/>
      <c r="BV167" s="55"/>
      <c r="BW167" s="55"/>
      <c r="BX167" s="55"/>
      <c r="BY167" s="55"/>
      <c r="BZ167" s="65"/>
      <c r="CA167" s="55"/>
      <c r="CB167" s="55"/>
      <c r="CC167" s="55"/>
      <c r="CD167" s="55"/>
      <c r="CE167" s="55"/>
      <c r="CF167" s="55"/>
      <c r="CG167" s="55"/>
      <c r="CH167" s="55"/>
      <c r="CI167" s="55"/>
    </row>
    <row r="168" spans="1:87">
      <c r="A168" s="12" t="str">
        <f>Roster!A168</f>
        <v/>
      </c>
      <c r="B168" s="28">
        <f>Roster!C168</f>
        <v>0</v>
      </c>
      <c r="C168" s="28" t="str">
        <f>IF(COUNTIFS(Table36103[[#This Row],[Continue Existing]:[Start New]], "TRUE")=0, "YES", "NO")</f>
        <v>YES</v>
      </c>
      <c r="D168" s="28" t="b">
        <f>COUNTIFS(Table36103[[#This Row],[Screening Results: Drug &amp; Alcohol Assessment 1]:[Other Reason 9]], "Continue with existing treatment services")&gt;0</f>
        <v>0</v>
      </c>
      <c r="E168" s="28" t="b">
        <f>COUNTIFS(Table36103[[#This Row],[Screening Results: Drug &amp; Alcohol Assessment 1]:[Other Reason 9]], "Start new service")&gt;0</f>
        <v>0</v>
      </c>
      <c r="F168" s="55"/>
      <c r="G168" s="56"/>
      <c r="H168" s="57"/>
      <c r="I168" s="57"/>
      <c r="J168" s="57"/>
      <c r="K168" s="57"/>
      <c r="L168" s="57"/>
      <c r="M168" s="57"/>
      <c r="N168" s="45"/>
      <c r="O168" s="58"/>
      <c r="P168" s="56"/>
      <c r="Q168" s="57"/>
      <c r="R168" s="57"/>
      <c r="S168" s="57"/>
      <c r="T168" s="57"/>
      <c r="U168" s="57"/>
      <c r="V168" s="57"/>
      <c r="W168" s="45"/>
      <c r="X168" s="65"/>
      <c r="Y168" s="56"/>
      <c r="Z168" s="57"/>
      <c r="AA168" s="57"/>
      <c r="AB168" s="57"/>
      <c r="AC168" s="57"/>
      <c r="AD168" s="57"/>
      <c r="AE168" s="57"/>
      <c r="AF168" s="45"/>
      <c r="AG168" s="65"/>
      <c r="AH168" s="56"/>
      <c r="AI168" s="57"/>
      <c r="AJ168" s="57"/>
      <c r="AK168" s="57"/>
      <c r="AL168" s="57"/>
      <c r="AM168" s="57"/>
      <c r="AN168" s="57"/>
      <c r="AO168" s="45"/>
      <c r="AP168" s="65"/>
      <c r="AQ168" s="56"/>
      <c r="AR168" s="57"/>
      <c r="AS168" s="57"/>
      <c r="AT168" s="57"/>
      <c r="AU168" s="57"/>
      <c r="AV168" s="57"/>
      <c r="AW168" s="57"/>
      <c r="AX168" s="45"/>
      <c r="AY168" s="65"/>
      <c r="AZ168" s="56"/>
      <c r="BA168" s="55"/>
      <c r="BB168" s="55"/>
      <c r="BC168" s="55"/>
      <c r="BD168" s="55"/>
      <c r="BE168" s="55"/>
      <c r="BF168" s="55"/>
      <c r="BG168" s="45"/>
      <c r="BH168" s="65"/>
      <c r="BI168" s="55"/>
      <c r="BJ168" s="55"/>
      <c r="BK168" s="55"/>
      <c r="BL168" s="55"/>
      <c r="BM168" s="55"/>
      <c r="BN168" s="55"/>
      <c r="BO168" s="55"/>
      <c r="BP168" s="55"/>
      <c r="BQ168" s="65"/>
      <c r="BR168" s="55"/>
      <c r="BS168" s="55"/>
      <c r="BT168" s="55"/>
      <c r="BU168" s="55"/>
      <c r="BV168" s="55"/>
      <c r="BW168" s="55"/>
      <c r="BX168" s="55"/>
      <c r="BY168" s="55"/>
      <c r="BZ168" s="65"/>
      <c r="CA168" s="55"/>
      <c r="CB168" s="55"/>
      <c r="CC168" s="55"/>
      <c r="CD168" s="55"/>
      <c r="CE168" s="55"/>
      <c r="CF168" s="55"/>
      <c r="CG168" s="55"/>
      <c r="CH168" s="55"/>
      <c r="CI168" s="55"/>
    </row>
    <row r="169" spans="1:87">
      <c r="A169" s="12" t="str">
        <f>Roster!A169</f>
        <v/>
      </c>
      <c r="B169" s="28">
        <f>Roster!C169</f>
        <v>0</v>
      </c>
      <c r="C169" s="28" t="str">
        <f>IF(COUNTIFS(Table36103[[#This Row],[Continue Existing]:[Start New]], "TRUE")=0, "YES", "NO")</f>
        <v>YES</v>
      </c>
      <c r="D169" s="28" t="b">
        <f>COUNTIFS(Table36103[[#This Row],[Screening Results: Drug &amp; Alcohol Assessment 1]:[Other Reason 9]], "Continue with existing treatment services")&gt;0</f>
        <v>0</v>
      </c>
      <c r="E169" s="28" t="b">
        <f>COUNTIFS(Table36103[[#This Row],[Screening Results: Drug &amp; Alcohol Assessment 1]:[Other Reason 9]], "Start new service")&gt;0</f>
        <v>0</v>
      </c>
      <c r="F169" s="55"/>
      <c r="G169" s="56"/>
      <c r="H169" s="57"/>
      <c r="I169" s="57"/>
      <c r="J169" s="57"/>
      <c r="K169" s="57"/>
      <c r="L169" s="57"/>
      <c r="M169" s="57"/>
      <c r="N169" s="45"/>
      <c r="O169" s="58"/>
      <c r="P169" s="56"/>
      <c r="Q169" s="57"/>
      <c r="R169" s="57"/>
      <c r="S169" s="57"/>
      <c r="T169" s="57"/>
      <c r="U169" s="57"/>
      <c r="V169" s="57"/>
      <c r="W169" s="45"/>
      <c r="X169" s="65"/>
      <c r="Y169" s="56"/>
      <c r="Z169" s="57"/>
      <c r="AA169" s="57"/>
      <c r="AB169" s="57"/>
      <c r="AC169" s="57"/>
      <c r="AD169" s="57"/>
      <c r="AE169" s="57"/>
      <c r="AF169" s="45"/>
      <c r="AG169" s="65"/>
      <c r="AH169" s="56"/>
      <c r="AI169" s="57"/>
      <c r="AJ169" s="57"/>
      <c r="AK169" s="57"/>
      <c r="AL169" s="57"/>
      <c r="AM169" s="57"/>
      <c r="AN169" s="57"/>
      <c r="AO169" s="45"/>
      <c r="AP169" s="65"/>
      <c r="AQ169" s="56"/>
      <c r="AR169" s="57"/>
      <c r="AS169" s="57"/>
      <c r="AT169" s="57"/>
      <c r="AU169" s="57"/>
      <c r="AV169" s="57"/>
      <c r="AW169" s="57"/>
      <c r="AX169" s="45"/>
      <c r="AY169" s="65"/>
      <c r="AZ169" s="56"/>
      <c r="BA169" s="55"/>
      <c r="BB169" s="55"/>
      <c r="BC169" s="55"/>
      <c r="BD169" s="55"/>
      <c r="BE169" s="55"/>
      <c r="BF169" s="55"/>
      <c r="BG169" s="45"/>
      <c r="BH169" s="65"/>
      <c r="BI169" s="55"/>
      <c r="BJ169" s="55"/>
      <c r="BK169" s="55"/>
      <c r="BL169" s="55"/>
      <c r="BM169" s="55"/>
      <c r="BN169" s="55"/>
      <c r="BO169" s="55"/>
      <c r="BP169" s="55"/>
      <c r="BQ169" s="65"/>
      <c r="BR169" s="55"/>
      <c r="BS169" s="55"/>
      <c r="BT169" s="55"/>
      <c r="BU169" s="55"/>
      <c r="BV169" s="55"/>
      <c r="BW169" s="55"/>
      <c r="BX169" s="55"/>
      <c r="BY169" s="55"/>
      <c r="BZ169" s="65"/>
      <c r="CA169" s="55"/>
      <c r="CB169" s="55"/>
      <c r="CC169" s="55"/>
      <c r="CD169" s="55"/>
      <c r="CE169" s="55"/>
      <c r="CF169" s="55"/>
      <c r="CG169" s="55"/>
      <c r="CH169" s="55"/>
      <c r="CI169" s="55"/>
    </row>
    <row r="170" spans="1:87">
      <c r="A170" s="12" t="str">
        <f>Roster!A170</f>
        <v/>
      </c>
      <c r="B170" s="28">
        <f>Roster!C170</f>
        <v>0</v>
      </c>
      <c r="C170" s="28" t="str">
        <f>IF(COUNTIFS(Table36103[[#This Row],[Continue Existing]:[Start New]], "TRUE")=0, "YES", "NO")</f>
        <v>YES</v>
      </c>
      <c r="D170" s="28" t="b">
        <f>COUNTIFS(Table36103[[#This Row],[Screening Results: Drug &amp; Alcohol Assessment 1]:[Other Reason 9]], "Continue with existing treatment services")&gt;0</f>
        <v>0</v>
      </c>
      <c r="E170" s="28" t="b">
        <f>COUNTIFS(Table36103[[#This Row],[Screening Results: Drug &amp; Alcohol Assessment 1]:[Other Reason 9]], "Start new service")&gt;0</f>
        <v>0</v>
      </c>
      <c r="F170" s="55"/>
      <c r="G170" s="56"/>
      <c r="H170" s="57"/>
      <c r="I170" s="57"/>
      <c r="J170" s="57"/>
      <c r="K170" s="57"/>
      <c r="L170" s="57"/>
      <c r="M170" s="57"/>
      <c r="N170" s="45"/>
      <c r="O170" s="58"/>
      <c r="P170" s="56"/>
      <c r="Q170" s="57"/>
      <c r="R170" s="57"/>
      <c r="S170" s="57"/>
      <c r="T170" s="57"/>
      <c r="U170" s="57"/>
      <c r="V170" s="57"/>
      <c r="W170" s="45"/>
      <c r="X170" s="65"/>
      <c r="Y170" s="56"/>
      <c r="Z170" s="57"/>
      <c r="AA170" s="57"/>
      <c r="AB170" s="57"/>
      <c r="AC170" s="57"/>
      <c r="AD170" s="57"/>
      <c r="AE170" s="57"/>
      <c r="AF170" s="45"/>
      <c r="AG170" s="65"/>
      <c r="AH170" s="56"/>
      <c r="AI170" s="57"/>
      <c r="AJ170" s="57"/>
      <c r="AK170" s="57"/>
      <c r="AL170" s="57"/>
      <c r="AM170" s="57"/>
      <c r="AN170" s="57"/>
      <c r="AO170" s="45"/>
      <c r="AP170" s="65"/>
      <c r="AQ170" s="56"/>
      <c r="AR170" s="57"/>
      <c r="AS170" s="57"/>
      <c r="AT170" s="57"/>
      <c r="AU170" s="57"/>
      <c r="AV170" s="57"/>
      <c r="AW170" s="57"/>
      <c r="AX170" s="45"/>
      <c r="AY170" s="65"/>
      <c r="AZ170" s="56"/>
      <c r="BA170" s="55"/>
      <c r="BB170" s="55"/>
      <c r="BC170" s="55"/>
      <c r="BD170" s="55"/>
      <c r="BE170" s="55"/>
      <c r="BF170" s="55"/>
      <c r="BG170" s="45"/>
      <c r="BH170" s="65"/>
      <c r="BI170" s="55"/>
      <c r="BJ170" s="55"/>
      <c r="BK170" s="55"/>
      <c r="BL170" s="55"/>
      <c r="BM170" s="55"/>
      <c r="BN170" s="55"/>
      <c r="BO170" s="55"/>
      <c r="BP170" s="55"/>
      <c r="BQ170" s="65"/>
      <c r="BR170" s="55"/>
      <c r="BS170" s="55"/>
      <c r="BT170" s="55"/>
      <c r="BU170" s="55"/>
      <c r="BV170" s="55"/>
      <c r="BW170" s="55"/>
      <c r="BX170" s="55"/>
      <c r="BY170" s="55"/>
      <c r="BZ170" s="65"/>
      <c r="CA170" s="55"/>
      <c r="CB170" s="55"/>
      <c r="CC170" s="55"/>
      <c r="CD170" s="55"/>
      <c r="CE170" s="55"/>
      <c r="CF170" s="55"/>
      <c r="CG170" s="55"/>
      <c r="CH170" s="55"/>
      <c r="CI170" s="55"/>
    </row>
    <row r="171" spans="1:87">
      <c r="A171" s="12" t="str">
        <f>Roster!A171</f>
        <v/>
      </c>
      <c r="B171" s="28">
        <f>Roster!C171</f>
        <v>0</v>
      </c>
      <c r="C171" s="28" t="str">
        <f>IF(COUNTIFS(Table36103[[#This Row],[Continue Existing]:[Start New]], "TRUE")=0, "YES", "NO")</f>
        <v>YES</v>
      </c>
      <c r="D171" s="28" t="b">
        <f>COUNTIFS(Table36103[[#This Row],[Screening Results: Drug &amp; Alcohol Assessment 1]:[Other Reason 9]], "Continue with existing treatment services")&gt;0</f>
        <v>0</v>
      </c>
      <c r="E171" s="28" t="b">
        <f>COUNTIFS(Table36103[[#This Row],[Screening Results: Drug &amp; Alcohol Assessment 1]:[Other Reason 9]], "Start new service")&gt;0</f>
        <v>0</v>
      </c>
      <c r="F171" s="55"/>
      <c r="G171" s="56"/>
      <c r="H171" s="57"/>
      <c r="I171" s="57"/>
      <c r="J171" s="57"/>
      <c r="K171" s="57"/>
      <c r="L171" s="57"/>
      <c r="M171" s="57"/>
      <c r="N171" s="45"/>
      <c r="O171" s="58"/>
      <c r="P171" s="56"/>
      <c r="Q171" s="57"/>
      <c r="R171" s="57"/>
      <c r="S171" s="57"/>
      <c r="T171" s="57"/>
      <c r="U171" s="57"/>
      <c r="V171" s="57"/>
      <c r="W171" s="45"/>
      <c r="X171" s="65"/>
      <c r="Y171" s="56"/>
      <c r="Z171" s="57"/>
      <c r="AA171" s="57"/>
      <c r="AB171" s="57"/>
      <c r="AC171" s="57"/>
      <c r="AD171" s="57"/>
      <c r="AE171" s="57"/>
      <c r="AF171" s="45"/>
      <c r="AG171" s="65"/>
      <c r="AH171" s="56"/>
      <c r="AI171" s="57"/>
      <c r="AJ171" s="57"/>
      <c r="AK171" s="57"/>
      <c r="AL171" s="57"/>
      <c r="AM171" s="57"/>
      <c r="AN171" s="57"/>
      <c r="AO171" s="45"/>
      <c r="AP171" s="65"/>
      <c r="AQ171" s="56"/>
      <c r="AR171" s="57"/>
      <c r="AS171" s="57"/>
      <c r="AT171" s="57"/>
      <c r="AU171" s="57"/>
      <c r="AV171" s="57"/>
      <c r="AW171" s="57"/>
      <c r="AX171" s="45"/>
      <c r="AY171" s="65"/>
      <c r="AZ171" s="56"/>
      <c r="BA171" s="55"/>
      <c r="BB171" s="55"/>
      <c r="BC171" s="55"/>
      <c r="BD171" s="55"/>
      <c r="BE171" s="55"/>
      <c r="BF171" s="55"/>
      <c r="BG171" s="45"/>
      <c r="BH171" s="65"/>
      <c r="BI171" s="55"/>
      <c r="BJ171" s="55"/>
      <c r="BK171" s="55"/>
      <c r="BL171" s="55"/>
      <c r="BM171" s="55"/>
      <c r="BN171" s="55"/>
      <c r="BO171" s="55"/>
      <c r="BP171" s="55"/>
      <c r="BQ171" s="65"/>
      <c r="BR171" s="55"/>
      <c r="BS171" s="55"/>
      <c r="BT171" s="55"/>
      <c r="BU171" s="55"/>
      <c r="BV171" s="55"/>
      <c r="BW171" s="55"/>
      <c r="BX171" s="55"/>
      <c r="BY171" s="55"/>
      <c r="BZ171" s="65"/>
      <c r="CA171" s="55"/>
      <c r="CB171" s="55"/>
      <c r="CC171" s="55"/>
      <c r="CD171" s="55"/>
      <c r="CE171" s="55"/>
      <c r="CF171" s="55"/>
      <c r="CG171" s="55"/>
      <c r="CH171" s="55"/>
      <c r="CI171" s="55"/>
    </row>
    <row r="172" spans="1:87">
      <c r="A172" s="12" t="str">
        <f>Roster!A172</f>
        <v/>
      </c>
      <c r="B172" s="28">
        <f>Roster!C172</f>
        <v>0</v>
      </c>
      <c r="C172" s="28" t="str">
        <f>IF(COUNTIFS(Table36103[[#This Row],[Continue Existing]:[Start New]], "TRUE")=0, "YES", "NO")</f>
        <v>YES</v>
      </c>
      <c r="D172" s="28" t="b">
        <f>COUNTIFS(Table36103[[#This Row],[Screening Results: Drug &amp; Alcohol Assessment 1]:[Other Reason 9]], "Continue with existing treatment services")&gt;0</f>
        <v>0</v>
      </c>
      <c r="E172" s="28" t="b">
        <f>COUNTIFS(Table36103[[#This Row],[Screening Results: Drug &amp; Alcohol Assessment 1]:[Other Reason 9]], "Start new service")&gt;0</f>
        <v>0</v>
      </c>
      <c r="F172" s="55"/>
      <c r="G172" s="56"/>
      <c r="H172" s="57"/>
      <c r="I172" s="57"/>
      <c r="J172" s="57"/>
      <c r="K172" s="57"/>
      <c r="L172" s="57"/>
      <c r="M172" s="57"/>
      <c r="N172" s="45"/>
      <c r="O172" s="58"/>
      <c r="P172" s="56"/>
      <c r="Q172" s="57"/>
      <c r="R172" s="57"/>
      <c r="S172" s="57"/>
      <c r="T172" s="57"/>
      <c r="U172" s="57"/>
      <c r="V172" s="57"/>
      <c r="W172" s="45"/>
      <c r="X172" s="65"/>
      <c r="Y172" s="56"/>
      <c r="Z172" s="57"/>
      <c r="AA172" s="57"/>
      <c r="AB172" s="57"/>
      <c r="AC172" s="57"/>
      <c r="AD172" s="57"/>
      <c r="AE172" s="57"/>
      <c r="AF172" s="45"/>
      <c r="AG172" s="65"/>
      <c r="AH172" s="56"/>
      <c r="AI172" s="57"/>
      <c r="AJ172" s="57"/>
      <c r="AK172" s="57"/>
      <c r="AL172" s="57"/>
      <c r="AM172" s="57"/>
      <c r="AN172" s="57"/>
      <c r="AO172" s="45"/>
      <c r="AP172" s="65"/>
      <c r="AQ172" s="56"/>
      <c r="AR172" s="57"/>
      <c r="AS172" s="57"/>
      <c r="AT172" s="57"/>
      <c r="AU172" s="57"/>
      <c r="AV172" s="57"/>
      <c r="AW172" s="57"/>
      <c r="AX172" s="45"/>
      <c r="AY172" s="65"/>
      <c r="AZ172" s="56"/>
      <c r="BA172" s="55"/>
      <c r="BB172" s="55"/>
      <c r="BC172" s="55"/>
      <c r="BD172" s="55"/>
      <c r="BE172" s="55"/>
      <c r="BF172" s="55"/>
      <c r="BG172" s="45"/>
      <c r="BH172" s="65"/>
      <c r="BI172" s="55"/>
      <c r="BJ172" s="55"/>
      <c r="BK172" s="55"/>
      <c r="BL172" s="55"/>
      <c r="BM172" s="55"/>
      <c r="BN172" s="55"/>
      <c r="BO172" s="55"/>
      <c r="BP172" s="55"/>
      <c r="BQ172" s="65"/>
      <c r="BR172" s="55"/>
      <c r="BS172" s="55"/>
      <c r="BT172" s="55"/>
      <c r="BU172" s="55"/>
      <c r="BV172" s="55"/>
      <c r="BW172" s="55"/>
      <c r="BX172" s="55"/>
      <c r="BY172" s="55"/>
      <c r="BZ172" s="65"/>
      <c r="CA172" s="55"/>
      <c r="CB172" s="55"/>
      <c r="CC172" s="55"/>
      <c r="CD172" s="55"/>
      <c r="CE172" s="55"/>
      <c r="CF172" s="55"/>
      <c r="CG172" s="55"/>
      <c r="CH172" s="55"/>
      <c r="CI172" s="55"/>
    </row>
    <row r="173" spans="1:87">
      <c r="A173" s="12" t="str">
        <f>Roster!A173</f>
        <v/>
      </c>
      <c r="B173" s="28">
        <f>Roster!C173</f>
        <v>0</v>
      </c>
      <c r="C173" s="28" t="str">
        <f>IF(COUNTIFS(Table36103[[#This Row],[Continue Existing]:[Start New]], "TRUE")=0, "YES", "NO")</f>
        <v>YES</v>
      </c>
      <c r="D173" s="28" t="b">
        <f>COUNTIFS(Table36103[[#This Row],[Screening Results: Drug &amp; Alcohol Assessment 1]:[Other Reason 9]], "Continue with existing treatment services")&gt;0</f>
        <v>0</v>
      </c>
      <c r="E173" s="28" t="b">
        <f>COUNTIFS(Table36103[[#This Row],[Screening Results: Drug &amp; Alcohol Assessment 1]:[Other Reason 9]], "Start new service")&gt;0</f>
        <v>0</v>
      </c>
      <c r="F173" s="55"/>
      <c r="G173" s="56"/>
      <c r="H173" s="57"/>
      <c r="I173" s="57"/>
      <c r="J173" s="57"/>
      <c r="K173" s="57"/>
      <c r="L173" s="57"/>
      <c r="M173" s="57"/>
      <c r="N173" s="45"/>
      <c r="O173" s="58"/>
      <c r="P173" s="56"/>
      <c r="Q173" s="57"/>
      <c r="R173" s="57"/>
      <c r="S173" s="57"/>
      <c r="T173" s="57"/>
      <c r="U173" s="57"/>
      <c r="V173" s="57"/>
      <c r="W173" s="45"/>
      <c r="X173" s="65"/>
      <c r="Y173" s="56"/>
      <c r="Z173" s="57"/>
      <c r="AA173" s="57"/>
      <c r="AB173" s="57"/>
      <c r="AC173" s="57"/>
      <c r="AD173" s="57"/>
      <c r="AE173" s="57"/>
      <c r="AF173" s="45"/>
      <c r="AG173" s="65"/>
      <c r="AH173" s="56"/>
      <c r="AI173" s="57"/>
      <c r="AJ173" s="57"/>
      <c r="AK173" s="57"/>
      <c r="AL173" s="57"/>
      <c r="AM173" s="57"/>
      <c r="AN173" s="57"/>
      <c r="AO173" s="45"/>
      <c r="AP173" s="65"/>
      <c r="AQ173" s="56"/>
      <c r="AR173" s="57"/>
      <c r="AS173" s="57"/>
      <c r="AT173" s="57"/>
      <c r="AU173" s="57"/>
      <c r="AV173" s="57"/>
      <c r="AW173" s="57"/>
      <c r="AX173" s="45"/>
      <c r="AY173" s="65"/>
      <c r="AZ173" s="56"/>
      <c r="BA173" s="55"/>
      <c r="BB173" s="55"/>
      <c r="BC173" s="55"/>
      <c r="BD173" s="55"/>
      <c r="BE173" s="55"/>
      <c r="BF173" s="55"/>
      <c r="BG173" s="45"/>
      <c r="BH173" s="65"/>
      <c r="BI173" s="55"/>
      <c r="BJ173" s="55"/>
      <c r="BK173" s="55"/>
      <c r="BL173" s="55"/>
      <c r="BM173" s="55"/>
      <c r="BN173" s="55"/>
      <c r="BO173" s="55"/>
      <c r="BP173" s="55"/>
      <c r="BQ173" s="65"/>
      <c r="BR173" s="55"/>
      <c r="BS173" s="55"/>
      <c r="BT173" s="55"/>
      <c r="BU173" s="55"/>
      <c r="BV173" s="55"/>
      <c r="BW173" s="55"/>
      <c r="BX173" s="55"/>
      <c r="BY173" s="55"/>
      <c r="BZ173" s="65"/>
      <c r="CA173" s="55"/>
      <c r="CB173" s="55"/>
      <c r="CC173" s="55"/>
      <c r="CD173" s="55"/>
      <c r="CE173" s="55"/>
      <c r="CF173" s="55"/>
      <c r="CG173" s="55"/>
      <c r="CH173" s="55"/>
      <c r="CI173" s="55"/>
    </row>
    <row r="174" spans="1:87">
      <c r="A174" s="12" t="str">
        <f>Roster!A174</f>
        <v/>
      </c>
      <c r="B174" s="28">
        <f>Roster!C174</f>
        <v>0</v>
      </c>
      <c r="C174" s="28" t="str">
        <f>IF(COUNTIFS(Table36103[[#This Row],[Continue Existing]:[Start New]], "TRUE")=0, "YES", "NO")</f>
        <v>YES</v>
      </c>
      <c r="D174" s="28" t="b">
        <f>COUNTIFS(Table36103[[#This Row],[Screening Results: Drug &amp; Alcohol Assessment 1]:[Other Reason 9]], "Continue with existing treatment services")&gt;0</f>
        <v>0</v>
      </c>
      <c r="E174" s="28" t="b">
        <f>COUNTIFS(Table36103[[#This Row],[Screening Results: Drug &amp; Alcohol Assessment 1]:[Other Reason 9]], "Start new service")&gt;0</f>
        <v>0</v>
      </c>
      <c r="F174" s="55"/>
      <c r="G174" s="56"/>
      <c r="H174" s="57"/>
      <c r="I174" s="57"/>
      <c r="J174" s="57"/>
      <c r="K174" s="57"/>
      <c r="L174" s="57"/>
      <c r="M174" s="57"/>
      <c r="N174" s="45"/>
      <c r="O174" s="58"/>
      <c r="P174" s="56"/>
      <c r="Q174" s="57"/>
      <c r="R174" s="57"/>
      <c r="S174" s="57"/>
      <c r="T174" s="57"/>
      <c r="U174" s="57"/>
      <c r="V174" s="57"/>
      <c r="W174" s="45"/>
      <c r="X174" s="65"/>
      <c r="Y174" s="56"/>
      <c r="Z174" s="57"/>
      <c r="AA174" s="57"/>
      <c r="AB174" s="57"/>
      <c r="AC174" s="57"/>
      <c r="AD174" s="57"/>
      <c r="AE174" s="57"/>
      <c r="AF174" s="45"/>
      <c r="AG174" s="65"/>
      <c r="AH174" s="56"/>
      <c r="AI174" s="57"/>
      <c r="AJ174" s="57"/>
      <c r="AK174" s="57"/>
      <c r="AL174" s="57"/>
      <c r="AM174" s="57"/>
      <c r="AN174" s="57"/>
      <c r="AO174" s="45"/>
      <c r="AP174" s="65"/>
      <c r="AQ174" s="56"/>
      <c r="AR174" s="57"/>
      <c r="AS174" s="57"/>
      <c r="AT174" s="57"/>
      <c r="AU174" s="57"/>
      <c r="AV174" s="57"/>
      <c r="AW174" s="57"/>
      <c r="AX174" s="45"/>
      <c r="AY174" s="65"/>
      <c r="AZ174" s="56"/>
      <c r="BA174" s="55"/>
      <c r="BB174" s="55"/>
      <c r="BC174" s="55"/>
      <c r="BD174" s="55"/>
      <c r="BE174" s="55"/>
      <c r="BF174" s="55"/>
      <c r="BG174" s="45"/>
      <c r="BH174" s="65"/>
      <c r="BI174" s="55"/>
      <c r="BJ174" s="55"/>
      <c r="BK174" s="55"/>
      <c r="BL174" s="55"/>
      <c r="BM174" s="55"/>
      <c r="BN174" s="55"/>
      <c r="BO174" s="55"/>
      <c r="BP174" s="55"/>
      <c r="BQ174" s="65"/>
      <c r="BR174" s="55"/>
      <c r="BS174" s="55"/>
      <c r="BT174" s="55"/>
      <c r="BU174" s="55"/>
      <c r="BV174" s="55"/>
      <c r="BW174" s="55"/>
      <c r="BX174" s="55"/>
      <c r="BY174" s="55"/>
      <c r="BZ174" s="65"/>
      <c r="CA174" s="55"/>
      <c r="CB174" s="55"/>
      <c r="CC174" s="55"/>
      <c r="CD174" s="55"/>
      <c r="CE174" s="55"/>
      <c r="CF174" s="55"/>
      <c r="CG174" s="55"/>
      <c r="CH174" s="55"/>
      <c r="CI174" s="55"/>
    </row>
    <row r="175" spans="1:87">
      <c r="A175" s="12" t="str">
        <f>Roster!A175</f>
        <v/>
      </c>
      <c r="B175" s="28">
        <f>Roster!C175</f>
        <v>0</v>
      </c>
      <c r="C175" s="28" t="str">
        <f>IF(COUNTIFS(Table36103[[#This Row],[Continue Existing]:[Start New]], "TRUE")=0, "YES", "NO")</f>
        <v>YES</v>
      </c>
      <c r="D175" s="28" t="b">
        <f>COUNTIFS(Table36103[[#This Row],[Screening Results: Drug &amp; Alcohol Assessment 1]:[Other Reason 9]], "Continue with existing treatment services")&gt;0</f>
        <v>0</v>
      </c>
      <c r="E175" s="28" t="b">
        <f>COUNTIFS(Table36103[[#This Row],[Screening Results: Drug &amp; Alcohol Assessment 1]:[Other Reason 9]], "Start new service")&gt;0</f>
        <v>0</v>
      </c>
      <c r="F175" s="55"/>
      <c r="G175" s="56"/>
      <c r="H175" s="57"/>
      <c r="I175" s="57"/>
      <c r="J175" s="57"/>
      <c r="K175" s="57"/>
      <c r="L175" s="57"/>
      <c r="M175" s="57"/>
      <c r="N175" s="45"/>
      <c r="O175" s="58"/>
      <c r="P175" s="56"/>
      <c r="Q175" s="57"/>
      <c r="R175" s="57"/>
      <c r="S175" s="57"/>
      <c r="T175" s="57"/>
      <c r="U175" s="57"/>
      <c r="V175" s="57"/>
      <c r="W175" s="45"/>
      <c r="X175" s="65"/>
      <c r="Y175" s="56"/>
      <c r="Z175" s="57"/>
      <c r="AA175" s="57"/>
      <c r="AB175" s="57"/>
      <c r="AC175" s="57"/>
      <c r="AD175" s="57"/>
      <c r="AE175" s="57"/>
      <c r="AF175" s="45"/>
      <c r="AG175" s="65"/>
      <c r="AH175" s="56"/>
      <c r="AI175" s="57"/>
      <c r="AJ175" s="57"/>
      <c r="AK175" s="57"/>
      <c r="AL175" s="57"/>
      <c r="AM175" s="57"/>
      <c r="AN175" s="57"/>
      <c r="AO175" s="45"/>
      <c r="AP175" s="65"/>
      <c r="AQ175" s="56"/>
      <c r="AR175" s="57"/>
      <c r="AS175" s="57"/>
      <c r="AT175" s="57"/>
      <c r="AU175" s="57"/>
      <c r="AV175" s="57"/>
      <c r="AW175" s="57"/>
      <c r="AX175" s="45"/>
      <c r="AY175" s="65"/>
      <c r="AZ175" s="56"/>
      <c r="BA175" s="55"/>
      <c r="BB175" s="55"/>
      <c r="BC175" s="55"/>
      <c r="BD175" s="55"/>
      <c r="BE175" s="55"/>
      <c r="BF175" s="55"/>
      <c r="BG175" s="45"/>
      <c r="BH175" s="65"/>
      <c r="BI175" s="55"/>
      <c r="BJ175" s="55"/>
      <c r="BK175" s="55"/>
      <c r="BL175" s="55"/>
      <c r="BM175" s="55"/>
      <c r="BN175" s="55"/>
      <c r="BO175" s="55"/>
      <c r="BP175" s="55"/>
      <c r="BQ175" s="65"/>
      <c r="BR175" s="55"/>
      <c r="BS175" s="55"/>
      <c r="BT175" s="55"/>
      <c r="BU175" s="55"/>
      <c r="BV175" s="55"/>
      <c r="BW175" s="55"/>
      <c r="BX175" s="55"/>
      <c r="BY175" s="55"/>
      <c r="BZ175" s="65"/>
      <c r="CA175" s="55"/>
      <c r="CB175" s="55"/>
      <c r="CC175" s="55"/>
      <c r="CD175" s="55"/>
      <c r="CE175" s="55"/>
      <c r="CF175" s="55"/>
      <c r="CG175" s="55"/>
      <c r="CH175" s="55"/>
      <c r="CI175" s="55"/>
    </row>
    <row r="176" spans="1:87">
      <c r="A176" s="12" t="str">
        <f>Roster!A176</f>
        <v/>
      </c>
      <c r="B176" s="28">
        <f>Roster!C176</f>
        <v>0</v>
      </c>
      <c r="C176" s="28" t="str">
        <f>IF(COUNTIFS(Table36103[[#This Row],[Continue Existing]:[Start New]], "TRUE")=0, "YES", "NO")</f>
        <v>YES</v>
      </c>
      <c r="D176" s="28" t="b">
        <f>COUNTIFS(Table36103[[#This Row],[Screening Results: Drug &amp; Alcohol Assessment 1]:[Other Reason 9]], "Continue with existing treatment services")&gt;0</f>
        <v>0</v>
      </c>
      <c r="E176" s="28" t="b">
        <f>COUNTIFS(Table36103[[#This Row],[Screening Results: Drug &amp; Alcohol Assessment 1]:[Other Reason 9]], "Start new service")&gt;0</f>
        <v>0</v>
      </c>
      <c r="F176" s="55"/>
      <c r="G176" s="56"/>
      <c r="H176" s="57"/>
      <c r="I176" s="57"/>
      <c r="J176" s="57"/>
      <c r="K176" s="57"/>
      <c r="L176" s="57"/>
      <c r="M176" s="57"/>
      <c r="N176" s="45"/>
      <c r="O176" s="58"/>
      <c r="P176" s="56"/>
      <c r="Q176" s="57"/>
      <c r="R176" s="57"/>
      <c r="S176" s="57"/>
      <c r="T176" s="57"/>
      <c r="U176" s="57"/>
      <c r="V176" s="57"/>
      <c r="W176" s="45"/>
      <c r="X176" s="65"/>
      <c r="Y176" s="56"/>
      <c r="Z176" s="57"/>
      <c r="AA176" s="57"/>
      <c r="AB176" s="57"/>
      <c r="AC176" s="57"/>
      <c r="AD176" s="57"/>
      <c r="AE176" s="57"/>
      <c r="AF176" s="45"/>
      <c r="AG176" s="65"/>
      <c r="AH176" s="56"/>
      <c r="AI176" s="57"/>
      <c r="AJ176" s="57"/>
      <c r="AK176" s="57"/>
      <c r="AL176" s="57"/>
      <c r="AM176" s="57"/>
      <c r="AN176" s="57"/>
      <c r="AO176" s="45"/>
      <c r="AP176" s="65"/>
      <c r="AQ176" s="56"/>
      <c r="AR176" s="57"/>
      <c r="AS176" s="57"/>
      <c r="AT176" s="57"/>
      <c r="AU176" s="57"/>
      <c r="AV176" s="57"/>
      <c r="AW176" s="57"/>
      <c r="AX176" s="45"/>
      <c r="AY176" s="65"/>
      <c r="AZ176" s="56"/>
      <c r="BA176" s="55"/>
      <c r="BB176" s="55"/>
      <c r="BC176" s="55"/>
      <c r="BD176" s="55"/>
      <c r="BE176" s="55"/>
      <c r="BF176" s="55"/>
      <c r="BG176" s="45"/>
      <c r="BH176" s="65"/>
      <c r="BI176" s="55"/>
      <c r="BJ176" s="55"/>
      <c r="BK176" s="55"/>
      <c r="BL176" s="55"/>
      <c r="BM176" s="55"/>
      <c r="BN176" s="55"/>
      <c r="BO176" s="55"/>
      <c r="BP176" s="55"/>
      <c r="BQ176" s="65"/>
      <c r="BR176" s="55"/>
      <c r="BS176" s="55"/>
      <c r="BT176" s="55"/>
      <c r="BU176" s="55"/>
      <c r="BV176" s="55"/>
      <c r="BW176" s="55"/>
      <c r="BX176" s="55"/>
      <c r="BY176" s="55"/>
      <c r="BZ176" s="65"/>
      <c r="CA176" s="55"/>
      <c r="CB176" s="55"/>
      <c r="CC176" s="55"/>
      <c r="CD176" s="55"/>
      <c r="CE176" s="55"/>
      <c r="CF176" s="55"/>
      <c r="CG176" s="55"/>
      <c r="CH176" s="55"/>
      <c r="CI176" s="55"/>
    </row>
    <row r="177" spans="1:87">
      <c r="A177" s="12" t="str">
        <f>Roster!A177</f>
        <v/>
      </c>
      <c r="B177" s="28">
        <f>Roster!C177</f>
        <v>0</v>
      </c>
      <c r="C177" s="28" t="str">
        <f>IF(COUNTIFS(Table36103[[#This Row],[Continue Existing]:[Start New]], "TRUE")=0, "YES", "NO")</f>
        <v>YES</v>
      </c>
      <c r="D177" s="28" t="b">
        <f>COUNTIFS(Table36103[[#This Row],[Screening Results: Drug &amp; Alcohol Assessment 1]:[Other Reason 9]], "Continue with existing treatment services")&gt;0</f>
        <v>0</v>
      </c>
      <c r="E177" s="28" t="b">
        <f>COUNTIFS(Table36103[[#This Row],[Screening Results: Drug &amp; Alcohol Assessment 1]:[Other Reason 9]], "Start new service")&gt;0</f>
        <v>0</v>
      </c>
      <c r="F177" s="55"/>
      <c r="G177" s="56"/>
      <c r="H177" s="57"/>
      <c r="I177" s="57"/>
      <c r="J177" s="57"/>
      <c r="K177" s="57"/>
      <c r="L177" s="57"/>
      <c r="M177" s="57"/>
      <c r="N177" s="45"/>
      <c r="O177" s="58"/>
      <c r="P177" s="56"/>
      <c r="Q177" s="57"/>
      <c r="R177" s="57"/>
      <c r="S177" s="57"/>
      <c r="T177" s="57"/>
      <c r="U177" s="57"/>
      <c r="V177" s="57"/>
      <c r="W177" s="45"/>
      <c r="X177" s="65"/>
      <c r="Y177" s="56"/>
      <c r="Z177" s="57"/>
      <c r="AA177" s="57"/>
      <c r="AB177" s="57"/>
      <c r="AC177" s="57"/>
      <c r="AD177" s="57"/>
      <c r="AE177" s="57"/>
      <c r="AF177" s="45"/>
      <c r="AG177" s="65"/>
      <c r="AH177" s="56"/>
      <c r="AI177" s="57"/>
      <c r="AJ177" s="57"/>
      <c r="AK177" s="57"/>
      <c r="AL177" s="57"/>
      <c r="AM177" s="57"/>
      <c r="AN177" s="57"/>
      <c r="AO177" s="45"/>
      <c r="AP177" s="65"/>
      <c r="AQ177" s="56"/>
      <c r="AR177" s="57"/>
      <c r="AS177" s="57"/>
      <c r="AT177" s="57"/>
      <c r="AU177" s="57"/>
      <c r="AV177" s="57"/>
      <c r="AW177" s="57"/>
      <c r="AX177" s="45"/>
      <c r="AY177" s="65"/>
      <c r="AZ177" s="56"/>
      <c r="BA177" s="55"/>
      <c r="BB177" s="55"/>
      <c r="BC177" s="55"/>
      <c r="BD177" s="55"/>
      <c r="BE177" s="55"/>
      <c r="BF177" s="55"/>
      <c r="BG177" s="45"/>
      <c r="BH177" s="65"/>
      <c r="BI177" s="55"/>
      <c r="BJ177" s="55"/>
      <c r="BK177" s="55"/>
      <c r="BL177" s="55"/>
      <c r="BM177" s="55"/>
      <c r="BN177" s="55"/>
      <c r="BO177" s="55"/>
      <c r="BP177" s="55"/>
      <c r="BQ177" s="65"/>
      <c r="BR177" s="55"/>
      <c r="BS177" s="55"/>
      <c r="BT177" s="55"/>
      <c r="BU177" s="55"/>
      <c r="BV177" s="55"/>
      <c r="BW177" s="55"/>
      <c r="BX177" s="55"/>
      <c r="BY177" s="55"/>
      <c r="BZ177" s="65"/>
      <c r="CA177" s="55"/>
      <c r="CB177" s="55"/>
      <c r="CC177" s="55"/>
      <c r="CD177" s="55"/>
      <c r="CE177" s="55"/>
      <c r="CF177" s="55"/>
      <c r="CG177" s="55"/>
      <c r="CH177" s="55"/>
      <c r="CI177" s="55"/>
    </row>
    <row r="178" spans="1:87">
      <c r="A178" s="12" t="str">
        <f>Roster!A178</f>
        <v/>
      </c>
      <c r="B178" s="28">
        <f>Roster!C178</f>
        <v>0</v>
      </c>
      <c r="C178" s="28" t="str">
        <f>IF(COUNTIFS(Table36103[[#This Row],[Continue Existing]:[Start New]], "TRUE")=0, "YES", "NO")</f>
        <v>YES</v>
      </c>
      <c r="D178" s="28" t="b">
        <f>COUNTIFS(Table36103[[#This Row],[Screening Results: Drug &amp; Alcohol Assessment 1]:[Other Reason 9]], "Continue with existing treatment services")&gt;0</f>
        <v>0</v>
      </c>
      <c r="E178" s="28" t="b">
        <f>COUNTIFS(Table36103[[#This Row],[Screening Results: Drug &amp; Alcohol Assessment 1]:[Other Reason 9]], "Start new service")&gt;0</f>
        <v>0</v>
      </c>
      <c r="F178" s="55"/>
      <c r="G178" s="56"/>
      <c r="H178" s="57"/>
      <c r="I178" s="57"/>
      <c r="J178" s="57"/>
      <c r="K178" s="57"/>
      <c r="L178" s="57"/>
      <c r="M178" s="57"/>
      <c r="N178" s="45"/>
      <c r="O178" s="58"/>
      <c r="P178" s="56"/>
      <c r="Q178" s="57"/>
      <c r="R178" s="57"/>
      <c r="S178" s="57"/>
      <c r="T178" s="57"/>
      <c r="U178" s="57"/>
      <c r="V178" s="57"/>
      <c r="W178" s="45"/>
      <c r="X178" s="65"/>
      <c r="Y178" s="56"/>
      <c r="Z178" s="57"/>
      <c r="AA178" s="57"/>
      <c r="AB178" s="57"/>
      <c r="AC178" s="57"/>
      <c r="AD178" s="57"/>
      <c r="AE178" s="57"/>
      <c r="AF178" s="45"/>
      <c r="AG178" s="65"/>
      <c r="AH178" s="56"/>
      <c r="AI178" s="57"/>
      <c r="AJ178" s="57"/>
      <c r="AK178" s="57"/>
      <c r="AL178" s="57"/>
      <c r="AM178" s="57"/>
      <c r="AN178" s="57"/>
      <c r="AO178" s="45"/>
      <c r="AP178" s="65"/>
      <c r="AQ178" s="56"/>
      <c r="AR178" s="57"/>
      <c r="AS178" s="57"/>
      <c r="AT178" s="57"/>
      <c r="AU178" s="57"/>
      <c r="AV178" s="57"/>
      <c r="AW178" s="57"/>
      <c r="AX178" s="45"/>
      <c r="AY178" s="65"/>
      <c r="AZ178" s="56"/>
      <c r="BA178" s="55"/>
      <c r="BB178" s="55"/>
      <c r="BC178" s="55"/>
      <c r="BD178" s="55"/>
      <c r="BE178" s="55"/>
      <c r="BF178" s="55"/>
      <c r="BG178" s="45"/>
      <c r="BH178" s="65"/>
      <c r="BI178" s="55"/>
      <c r="BJ178" s="55"/>
      <c r="BK178" s="55"/>
      <c r="BL178" s="55"/>
      <c r="BM178" s="55"/>
      <c r="BN178" s="55"/>
      <c r="BO178" s="55"/>
      <c r="BP178" s="55"/>
      <c r="BQ178" s="65"/>
      <c r="BR178" s="55"/>
      <c r="BS178" s="55"/>
      <c r="BT178" s="55"/>
      <c r="BU178" s="55"/>
      <c r="BV178" s="55"/>
      <c r="BW178" s="55"/>
      <c r="BX178" s="55"/>
      <c r="BY178" s="55"/>
      <c r="BZ178" s="65"/>
      <c r="CA178" s="55"/>
      <c r="CB178" s="55"/>
      <c r="CC178" s="55"/>
      <c r="CD178" s="55"/>
      <c r="CE178" s="55"/>
      <c r="CF178" s="55"/>
      <c r="CG178" s="55"/>
      <c r="CH178" s="55"/>
      <c r="CI178" s="55"/>
    </row>
    <row r="179" spans="1:87">
      <c r="A179" s="12" t="str">
        <f>Roster!A179</f>
        <v/>
      </c>
      <c r="B179" s="28">
        <f>Roster!C179</f>
        <v>0</v>
      </c>
      <c r="C179" s="28" t="str">
        <f>IF(COUNTIFS(Table36103[[#This Row],[Continue Existing]:[Start New]], "TRUE")=0, "YES", "NO")</f>
        <v>YES</v>
      </c>
      <c r="D179" s="28" t="b">
        <f>COUNTIFS(Table36103[[#This Row],[Screening Results: Drug &amp; Alcohol Assessment 1]:[Other Reason 9]], "Continue with existing treatment services")&gt;0</f>
        <v>0</v>
      </c>
      <c r="E179" s="28" t="b">
        <f>COUNTIFS(Table36103[[#This Row],[Screening Results: Drug &amp; Alcohol Assessment 1]:[Other Reason 9]], "Start new service")&gt;0</f>
        <v>0</v>
      </c>
      <c r="F179" s="55"/>
      <c r="G179" s="56"/>
      <c r="H179" s="57"/>
      <c r="I179" s="57"/>
      <c r="J179" s="57"/>
      <c r="K179" s="57"/>
      <c r="L179" s="57"/>
      <c r="M179" s="57"/>
      <c r="N179" s="45"/>
      <c r="O179" s="58"/>
      <c r="P179" s="56"/>
      <c r="Q179" s="57"/>
      <c r="R179" s="57"/>
      <c r="S179" s="57"/>
      <c r="T179" s="57"/>
      <c r="U179" s="57"/>
      <c r="V179" s="57"/>
      <c r="W179" s="45"/>
      <c r="X179" s="65"/>
      <c r="Y179" s="56"/>
      <c r="Z179" s="57"/>
      <c r="AA179" s="57"/>
      <c r="AB179" s="57"/>
      <c r="AC179" s="57"/>
      <c r="AD179" s="57"/>
      <c r="AE179" s="57"/>
      <c r="AF179" s="45"/>
      <c r="AG179" s="65"/>
      <c r="AH179" s="56"/>
      <c r="AI179" s="57"/>
      <c r="AJ179" s="57"/>
      <c r="AK179" s="57"/>
      <c r="AL179" s="57"/>
      <c r="AM179" s="57"/>
      <c r="AN179" s="57"/>
      <c r="AO179" s="45"/>
      <c r="AP179" s="65"/>
      <c r="AQ179" s="56"/>
      <c r="AR179" s="57"/>
      <c r="AS179" s="57"/>
      <c r="AT179" s="57"/>
      <c r="AU179" s="57"/>
      <c r="AV179" s="57"/>
      <c r="AW179" s="57"/>
      <c r="AX179" s="45"/>
      <c r="AY179" s="65"/>
      <c r="AZ179" s="56"/>
      <c r="BA179" s="55"/>
      <c r="BB179" s="55"/>
      <c r="BC179" s="55"/>
      <c r="BD179" s="55"/>
      <c r="BE179" s="55"/>
      <c r="BF179" s="55"/>
      <c r="BG179" s="45"/>
      <c r="BH179" s="65"/>
      <c r="BI179" s="55"/>
      <c r="BJ179" s="55"/>
      <c r="BK179" s="55"/>
      <c r="BL179" s="55"/>
      <c r="BM179" s="55"/>
      <c r="BN179" s="55"/>
      <c r="BO179" s="55"/>
      <c r="BP179" s="55"/>
      <c r="BQ179" s="65"/>
      <c r="BR179" s="55"/>
      <c r="BS179" s="55"/>
      <c r="BT179" s="55"/>
      <c r="BU179" s="55"/>
      <c r="BV179" s="55"/>
      <c r="BW179" s="55"/>
      <c r="BX179" s="55"/>
      <c r="BY179" s="55"/>
      <c r="BZ179" s="65"/>
      <c r="CA179" s="55"/>
      <c r="CB179" s="55"/>
      <c r="CC179" s="55"/>
      <c r="CD179" s="55"/>
      <c r="CE179" s="55"/>
      <c r="CF179" s="55"/>
      <c r="CG179" s="55"/>
      <c r="CH179" s="55"/>
      <c r="CI179" s="55"/>
    </row>
    <row r="180" spans="1:87">
      <c r="A180" s="12" t="str">
        <f>Roster!A180</f>
        <v/>
      </c>
      <c r="B180" s="28">
        <f>Roster!C180</f>
        <v>0</v>
      </c>
      <c r="C180" s="28" t="str">
        <f>IF(COUNTIFS(Table36103[[#This Row],[Continue Existing]:[Start New]], "TRUE")=0, "YES", "NO")</f>
        <v>YES</v>
      </c>
      <c r="D180" s="28" t="b">
        <f>COUNTIFS(Table36103[[#This Row],[Screening Results: Drug &amp; Alcohol Assessment 1]:[Other Reason 9]], "Continue with existing treatment services")&gt;0</f>
        <v>0</v>
      </c>
      <c r="E180" s="28" t="b">
        <f>COUNTIFS(Table36103[[#This Row],[Screening Results: Drug &amp; Alcohol Assessment 1]:[Other Reason 9]], "Start new service")&gt;0</f>
        <v>0</v>
      </c>
      <c r="F180" s="55"/>
      <c r="G180" s="56"/>
      <c r="H180" s="57"/>
      <c r="I180" s="57"/>
      <c r="J180" s="57"/>
      <c r="K180" s="57"/>
      <c r="L180" s="57"/>
      <c r="M180" s="57"/>
      <c r="N180" s="45"/>
      <c r="O180" s="58"/>
      <c r="P180" s="56"/>
      <c r="Q180" s="57"/>
      <c r="R180" s="57"/>
      <c r="S180" s="57"/>
      <c r="T180" s="57"/>
      <c r="U180" s="57"/>
      <c r="V180" s="57"/>
      <c r="W180" s="45"/>
      <c r="X180" s="65"/>
      <c r="Y180" s="56"/>
      <c r="Z180" s="57"/>
      <c r="AA180" s="57"/>
      <c r="AB180" s="57"/>
      <c r="AC180" s="57"/>
      <c r="AD180" s="57"/>
      <c r="AE180" s="57"/>
      <c r="AF180" s="45"/>
      <c r="AG180" s="65"/>
      <c r="AH180" s="56"/>
      <c r="AI180" s="57"/>
      <c r="AJ180" s="57"/>
      <c r="AK180" s="57"/>
      <c r="AL180" s="57"/>
      <c r="AM180" s="57"/>
      <c r="AN180" s="57"/>
      <c r="AO180" s="45"/>
      <c r="AP180" s="65"/>
      <c r="AQ180" s="56"/>
      <c r="AR180" s="57"/>
      <c r="AS180" s="57"/>
      <c r="AT180" s="57"/>
      <c r="AU180" s="57"/>
      <c r="AV180" s="57"/>
      <c r="AW180" s="57"/>
      <c r="AX180" s="45"/>
      <c r="AY180" s="65"/>
      <c r="AZ180" s="56"/>
      <c r="BA180" s="55"/>
      <c r="BB180" s="55"/>
      <c r="BC180" s="55"/>
      <c r="BD180" s="55"/>
      <c r="BE180" s="55"/>
      <c r="BF180" s="55"/>
      <c r="BG180" s="45"/>
      <c r="BH180" s="65"/>
      <c r="BI180" s="55"/>
      <c r="BJ180" s="55"/>
      <c r="BK180" s="55"/>
      <c r="BL180" s="55"/>
      <c r="BM180" s="55"/>
      <c r="BN180" s="55"/>
      <c r="BO180" s="55"/>
      <c r="BP180" s="55"/>
      <c r="BQ180" s="65"/>
      <c r="BR180" s="55"/>
      <c r="BS180" s="55"/>
      <c r="BT180" s="55"/>
      <c r="BU180" s="55"/>
      <c r="BV180" s="55"/>
      <c r="BW180" s="55"/>
      <c r="BX180" s="55"/>
      <c r="BY180" s="55"/>
      <c r="BZ180" s="65"/>
      <c r="CA180" s="55"/>
      <c r="CB180" s="55"/>
      <c r="CC180" s="55"/>
      <c r="CD180" s="55"/>
      <c r="CE180" s="55"/>
      <c r="CF180" s="55"/>
      <c r="CG180" s="55"/>
      <c r="CH180" s="55"/>
      <c r="CI180" s="55"/>
    </row>
    <row r="181" spans="1:87">
      <c r="A181" s="12" t="str">
        <f>Roster!A181</f>
        <v/>
      </c>
      <c r="B181" s="28">
        <f>Roster!C181</f>
        <v>0</v>
      </c>
      <c r="C181" s="28" t="str">
        <f>IF(COUNTIFS(Table36103[[#This Row],[Continue Existing]:[Start New]], "TRUE")=0, "YES", "NO")</f>
        <v>YES</v>
      </c>
      <c r="D181" s="28" t="b">
        <f>COUNTIFS(Table36103[[#This Row],[Screening Results: Drug &amp; Alcohol Assessment 1]:[Other Reason 9]], "Continue with existing treatment services")&gt;0</f>
        <v>0</v>
      </c>
      <c r="E181" s="28" t="b">
        <f>COUNTIFS(Table36103[[#This Row],[Screening Results: Drug &amp; Alcohol Assessment 1]:[Other Reason 9]], "Start new service")&gt;0</f>
        <v>0</v>
      </c>
      <c r="F181" s="55"/>
      <c r="G181" s="56"/>
      <c r="H181" s="57"/>
      <c r="I181" s="57"/>
      <c r="J181" s="57"/>
      <c r="K181" s="57"/>
      <c r="L181" s="57"/>
      <c r="M181" s="57"/>
      <c r="N181" s="45"/>
      <c r="O181" s="58"/>
      <c r="P181" s="56"/>
      <c r="Q181" s="57"/>
      <c r="R181" s="57"/>
      <c r="S181" s="57"/>
      <c r="T181" s="57"/>
      <c r="U181" s="57"/>
      <c r="V181" s="57"/>
      <c r="W181" s="45"/>
      <c r="X181" s="65"/>
      <c r="Y181" s="56"/>
      <c r="Z181" s="57"/>
      <c r="AA181" s="57"/>
      <c r="AB181" s="57"/>
      <c r="AC181" s="57"/>
      <c r="AD181" s="57"/>
      <c r="AE181" s="57"/>
      <c r="AF181" s="45"/>
      <c r="AG181" s="65"/>
      <c r="AH181" s="56"/>
      <c r="AI181" s="57"/>
      <c r="AJ181" s="57"/>
      <c r="AK181" s="57"/>
      <c r="AL181" s="57"/>
      <c r="AM181" s="57"/>
      <c r="AN181" s="57"/>
      <c r="AO181" s="45"/>
      <c r="AP181" s="65"/>
      <c r="AQ181" s="56"/>
      <c r="AR181" s="57"/>
      <c r="AS181" s="57"/>
      <c r="AT181" s="57"/>
      <c r="AU181" s="57"/>
      <c r="AV181" s="57"/>
      <c r="AW181" s="57"/>
      <c r="AX181" s="45"/>
      <c r="AY181" s="65"/>
      <c r="AZ181" s="56"/>
      <c r="BA181" s="55"/>
      <c r="BB181" s="55"/>
      <c r="BC181" s="55"/>
      <c r="BD181" s="55"/>
      <c r="BE181" s="55"/>
      <c r="BF181" s="55"/>
      <c r="BG181" s="45"/>
      <c r="BH181" s="65"/>
      <c r="BI181" s="55"/>
      <c r="BJ181" s="55"/>
      <c r="BK181" s="55"/>
      <c r="BL181" s="55"/>
      <c r="BM181" s="55"/>
      <c r="BN181" s="55"/>
      <c r="BO181" s="55"/>
      <c r="BP181" s="55"/>
      <c r="BQ181" s="65"/>
      <c r="BR181" s="55"/>
      <c r="BS181" s="55"/>
      <c r="BT181" s="55"/>
      <c r="BU181" s="55"/>
      <c r="BV181" s="55"/>
      <c r="BW181" s="55"/>
      <c r="BX181" s="55"/>
      <c r="BY181" s="55"/>
      <c r="BZ181" s="65"/>
      <c r="CA181" s="55"/>
      <c r="CB181" s="55"/>
      <c r="CC181" s="55"/>
      <c r="CD181" s="55"/>
      <c r="CE181" s="55"/>
      <c r="CF181" s="55"/>
      <c r="CG181" s="55"/>
      <c r="CH181" s="55"/>
      <c r="CI181" s="55"/>
    </row>
    <row r="182" spans="1:87">
      <c r="A182" s="12" t="str">
        <f>Roster!A182</f>
        <v/>
      </c>
      <c r="B182" s="28">
        <f>Roster!C182</f>
        <v>0</v>
      </c>
      <c r="C182" s="28" t="str">
        <f>IF(COUNTIFS(Table36103[[#This Row],[Continue Existing]:[Start New]], "TRUE")=0, "YES", "NO")</f>
        <v>YES</v>
      </c>
      <c r="D182" s="28" t="b">
        <f>COUNTIFS(Table36103[[#This Row],[Screening Results: Drug &amp; Alcohol Assessment 1]:[Other Reason 9]], "Continue with existing treatment services")&gt;0</f>
        <v>0</v>
      </c>
      <c r="E182" s="28" t="b">
        <f>COUNTIFS(Table36103[[#This Row],[Screening Results: Drug &amp; Alcohol Assessment 1]:[Other Reason 9]], "Start new service")&gt;0</f>
        <v>0</v>
      </c>
      <c r="F182" s="55"/>
      <c r="G182" s="56"/>
      <c r="H182" s="57"/>
      <c r="I182" s="57"/>
      <c r="J182" s="57"/>
      <c r="K182" s="57"/>
      <c r="L182" s="57"/>
      <c r="M182" s="57"/>
      <c r="N182" s="45"/>
      <c r="O182" s="58"/>
      <c r="P182" s="56"/>
      <c r="Q182" s="57"/>
      <c r="R182" s="57"/>
      <c r="S182" s="57"/>
      <c r="T182" s="57"/>
      <c r="U182" s="57"/>
      <c r="V182" s="57"/>
      <c r="W182" s="45"/>
      <c r="X182" s="65"/>
      <c r="Y182" s="56"/>
      <c r="Z182" s="57"/>
      <c r="AA182" s="57"/>
      <c r="AB182" s="57"/>
      <c r="AC182" s="57"/>
      <c r="AD182" s="57"/>
      <c r="AE182" s="57"/>
      <c r="AF182" s="45"/>
      <c r="AG182" s="65"/>
      <c r="AH182" s="56"/>
      <c r="AI182" s="57"/>
      <c r="AJ182" s="57"/>
      <c r="AK182" s="57"/>
      <c r="AL182" s="57"/>
      <c r="AM182" s="57"/>
      <c r="AN182" s="57"/>
      <c r="AO182" s="45"/>
      <c r="AP182" s="65"/>
      <c r="AQ182" s="56"/>
      <c r="AR182" s="57"/>
      <c r="AS182" s="57"/>
      <c r="AT182" s="57"/>
      <c r="AU182" s="57"/>
      <c r="AV182" s="57"/>
      <c r="AW182" s="57"/>
      <c r="AX182" s="45"/>
      <c r="AY182" s="65"/>
      <c r="AZ182" s="56"/>
      <c r="BA182" s="55"/>
      <c r="BB182" s="55"/>
      <c r="BC182" s="55"/>
      <c r="BD182" s="55"/>
      <c r="BE182" s="55"/>
      <c r="BF182" s="55"/>
      <c r="BG182" s="45"/>
      <c r="BH182" s="65"/>
      <c r="BI182" s="55"/>
      <c r="BJ182" s="55"/>
      <c r="BK182" s="55"/>
      <c r="BL182" s="55"/>
      <c r="BM182" s="55"/>
      <c r="BN182" s="55"/>
      <c r="BO182" s="55"/>
      <c r="BP182" s="55"/>
      <c r="BQ182" s="65"/>
      <c r="BR182" s="55"/>
      <c r="BS182" s="55"/>
      <c r="BT182" s="55"/>
      <c r="BU182" s="55"/>
      <c r="BV182" s="55"/>
      <c r="BW182" s="55"/>
      <c r="BX182" s="55"/>
      <c r="BY182" s="55"/>
      <c r="BZ182" s="65"/>
      <c r="CA182" s="55"/>
      <c r="CB182" s="55"/>
      <c r="CC182" s="55"/>
      <c r="CD182" s="55"/>
      <c r="CE182" s="55"/>
      <c r="CF182" s="55"/>
      <c r="CG182" s="55"/>
      <c r="CH182" s="55"/>
      <c r="CI182" s="55"/>
    </row>
    <row r="183" spans="1:87">
      <c r="A183" s="12" t="str">
        <f>Roster!A183</f>
        <v/>
      </c>
      <c r="B183" s="28">
        <f>Roster!C183</f>
        <v>0</v>
      </c>
      <c r="C183" s="28" t="str">
        <f>IF(COUNTIFS(Table36103[[#This Row],[Continue Existing]:[Start New]], "TRUE")=0, "YES", "NO")</f>
        <v>YES</v>
      </c>
      <c r="D183" s="28" t="b">
        <f>COUNTIFS(Table36103[[#This Row],[Screening Results: Drug &amp; Alcohol Assessment 1]:[Other Reason 9]], "Continue with existing treatment services")&gt;0</f>
        <v>0</v>
      </c>
      <c r="E183" s="28" t="b">
        <f>COUNTIFS(Table36103[[#This Row],[Screening Results: Drug &amp; Alcohol Assessment 1]:[Other Reason 9]], "Start new service")&gt;0</f>
        <v>0</v>
      </c>
      <c r="F183" s="55"/>
      <c r="G183" s="56"/>
      <c r="H183" s="57"/>
      <c r="I183" s="57"/>
      <c r="J183" s="57"/>
      <c r="K183" s="57"/>
      <c r="L183" s="57"/>
      <c r="M183" s="57"/>
      <c r="N183" s="45"/>
      <c r="O183" s="58"/>
      <c r="P183" s="56"/>
      <c r="Q183" s="57"/>
      <c r="R183" s="57"/>
      <c r="S183" s="57"/>
      <c r="T183" s="57"/>
      <c r="U183" s="57"/>
      <c r="V183" s="57"/>
      <c r="W183" s="45"/>
      <c r="X183" s="65"/>
      <c r="Y183" s="56"/>
      <c r="Z183" s="57"/>
      <c r="AA183" s="57"/>
      <c r="AB183" s="57"/>
      <c r="AC183" s="57"/>
      <c r="AD183" s="57"/>
      <c r="AE183" s="57"/>
      <c r="AF183" s="45"/>
      <c r="AG183" s="65"/>
      <c r="AH183" s="56"/>
      <c r="AI183" s="57"/>
      <c r="AJ183" s="57"/>
      <c r="AK183" s="57"/>
      <c r="AL183" s="57"/>
      <c r="AM183" s="57"/>
      <c r="AN183" s="57"/>
      <c r="AO183" s="45"/>
      <c r="AP183" s="65"/>
      <c r="AQ183" s="56"/>
      <c r="AR183" s="57"/>
      <c r="AS183" s="57"/>
      <c r="AT183" s="57"/>
      <c r="AU183" s="57"/>
      <c r="AV183" s="57"/>
      <c r="AW183" s="57"/>
      <c r="AX183" s="45"/>
      <c r="AY183" s="65"/>
      <c r="AZ183" s="56"/>
      <c r="BA183" s="55"/>
      <c r="BB183" s="55"/>
      <c r="BC183" s="55"/>
      <c r="BD183" s="55"/>
      <c r="BE183" s="55"/>
      <c r="BF183" s="55"/>
      <c r="BG183" s="45"/>
      <c r="BH183" s="65"/>
      <c r="BI183" s="55"/>
      <c r="BJ183" s="55"/>
      <c r="BK183" s="55"/>
      <c r="BL183" s="55"/>
      <c r="BM183" s="55"/>
      <c r="BN183" s="55"/>
      <c r="BO183" s="55"/>
      <c r="BP183" s="55"/>
      <c r="BQ183" s="65"/>
      <c r="BR183" s="55"/>
      <c r="BS183" s="55"/>
      <c r="BT183" s="55"/>
      <c r="BU183" s="55"/>
      <c r="BV183" s="55"/>
      <c r="BW183" s="55"/>
      <c r="BX183" s="55"/>
      <c r="BY183" s="55"/>
      <c r="BZ183" s="65"/>
      <c r="CA183" s="55"/>
      <c r="CB183" s="55"/>
      <c r="CC183" s="55"/>
      <c r="CD183" s="55"/>
      <c r="CE183" s="55"/>
      <c r="CF183" s="55"/>
      <c r="CG183" s="55"/>
      <c r="CH183" s="55"/>
      <c r="CI183" s="55"/>
    </row>
    <row r="184" spans="1:87">
      <c r="A184" s="12" t="str">
        <f>Roster!A184</f>
        <v/>
      </c>
      <c r="B184" s="28">
        <f>Roster!C184</f>
        <v>0</v>
      </c>
      <c r="C184" s="28" t="str">
        <f>IF(COUNTIFS(Table36103[[#This Row],[Continue Existing]:[Start New]], "TRUE")=0, "YES", "NO")</f>
        <v>YES</v>
      </c>
      <c r="D184" s="28" t="b">
        <f>COUNTIFS(Table36103[[#This Row],[Screening Results: Drug &amp; Alcohol Assessment 1]:[Other Reason 9]], "Continue with existing treatment services")&gt;0</f>
        <v>0</v>
      </c>
      <c r="E184" s="28" t="b">
        <f>COUNTIFS(Table36103[[#This Row],[Screening Results: Drug &amp; Alcohol Assessment 1]:[Other Reason 9]], "Start new service")&gt;0</f>
        <v>0</v>
      </c>
      <c r="F184" s="55"/>
      <c r="G184" s="56"/>
      <c r="H184" s="57"/>
      <c r="I184" s="57"/>
      <c r="J184" s="57"/>
      <c r="K184" s="57"/>
      <c r="L184" s="57"/>
      <c r="M184" s="57"/>
      <c r="N184" s="45"/>
      <c r="O184" s="58"/>
      <c r="P184" s="56"/>
      <c r="Q184" s="57"/>
      <c r="R184" s="57"/>
      <c r="S184" s="57"/>
      <c r="T184" s="57"/>
      <c r="U184" s="57"/>
      <c r="V184" s="57"/>
      <c r="W184" s="45"/>
      <c r="X184" s="65"/>
      <c r="Y184" s="56"/>
      <c r="Z184" s="57"/>
      <c r="AA184" s="57"/>
      <c r="AB184" s="57"/>
      <c r="AC184" s="57"/>
      <c r="AD184" s="57"/>
      <c r="AE184" s="57"/>
      <c r="AF184" s="45"/>
      <c r="AG184" s="65"/>
      <c r="AH184" s="56"/>
      <c r="AI184" s="57"/>
      <c r="AJ184" s="57"/>
      <c r="AK184" s="57"/>
      <c r="AL184" s="57"/>
      <c r="AM184" s="57"/>
      <c r="AN184" s="57"/>
      <c r="AO184" s="45"/>
      <c r="AP184" s="65"/>
      <c r="AQ184" s="56"/>
      <c r="AR184" s="57"/>
      <c r="AS184" s="57"/>
      <c r="AT184" s="57"/>
      <c r="AU184" s="57"/>
      <c r="AV184" s="57"/>
      <c r="AW184" s="57"/>
      <c r="AX184" s="45"/>
      <c r="AY184" s="65"/>
      <c r="AZ184" s="56"/>
      <c r="BA184" s="55"/>
      <c r="BB184" s="55"/>
      <c r="BC184" s="55"/>
      <c r="BD184" s="55"/>
      <c r="BE184" s="55"/>
      <c r="BF184" s="55"/>
      <c r="BG184" s="45"/>
      <c r="BH184" s="65"/>
      <c r="BI184" s="55"/>
      <c r="BJ184" s="55"/>
      <c r="BK184" s="55"/>
      <c r="BL184" s="55"/>
      <c r="BM184" s="55"/>
      <c r="BN184" s="55"/>
      <c r="BO184" s="55"/>
      <c r="BP184" s="55"/>
      <c r="BQ184" s="65"/>
      <c r="BR184" s="55"/>
      <c r="BS184" s="55"/>
      <c r="BT184" s="55"/>
      <c r="BU184" s="55"/>
      <c r="BV184" s="55"/>
      <c r="BW184" s="55"/>
      <c r="BX184" s="55"/>
      <c r="BY184" s="55"/>
      <c r="BZ184" s="65"/>
      <c r="CA184" s="55"/>
      <c r="CB184" s="55"/>
      <c r="CC184" s="55"/>
      <c r="CD184" s="55"/>
      <c r="CE184" s="55"/>
      <c r="CF184" s="55"/>
      <c r="CG184" s="55"/>
      <c r="CH184" s="55"/>
      <c r="CI184" s="55"/>
    </row>
    <row r="185" spans="1:87">
      <c r="A185" s="12" t="str">
        <f>Roster!A185</f>
        <v/>
      </c>
      <c r="B185" s="28">
        <f>Roster!C185</f>
        <v>0</v>
      </c>
      <c r="C185" s="28" t="str">
        <f>IF(COUNTIFS(Table36103[[#This Row],[Continue Existing]:[Start New]], "TRUE")=0, "YES", "NO")</f>
        <v>YES</v>
      </c>
      <c r="D185" s="28" t="b">
        <f>COUNTIFS(Table36103[[#This Row],[Screening Results: Drug &amp; Alcohol Assessment 1]:[Other Reason 9]], "Continue with existing treatment services")&gt;0</f>
        <v>0</v>
      </c>
      <c r="E185" s="28" t="b">
        <f>COUNTIFS(Table36103[[#This Row],[Screening Results: Drug &amp; Alcohol Assessment 1]:[Other Reason 9]], "Start new service")&gt;0</f>
        <v>0</v>
      </c>
      <c r="F185" s="55"/>
      <c r="G185" s="56"/>
      <c r="H185" s="57"/>
      <c r="I185" s="57"/>
      <c r="J185" s="57"/>
      <c r="K185" s="57"/>
      <c r="L185" s="57"/>
      <c r="M185" s="57"/>
      <c r="N185" s="45"/>
      <c r="O185" s="58"/>
      <c r="P185" s="56"/>
      <c r="Q185" s="57"/>
      <c r="R185" s="57"/>
      <c r="S185" s="57"/>
      <c r="T185" s="57"/>
      <c r="U185" s="57"/>
      <c r="V185" s="57"/>
      <c r="W185" s="45"/>
      <c r="X185" s="65"/>
      <c r="Y185" s="56"/>
      <c r="Z185" s="57"/>
      <c r="AA185" s="57"/>
      <c r="AB185" s="57"/>
      <c r="AC185" s="57"/>
      <c r="AD185" s="57"/>
      <c r="AE185" s="57"/>
      <c r="AF185" s="45"/>
      <c r="AG185" s="65"/>
      <c r="AH185" s="56"/>
      <c r="AI185" s="57"/>
      <c r="AJ185" s="57"/>
      <c r="AK185" s="57"/>
      <c r="AL185" s="57"/>
      <c r="AM185" s="57"/>
      <c r="AN185" s="57"/>
      <c r="AO185" s="45"/>
      <c r="AP185" s="65"/>
      <c r="AQ185" s="56"/>
      <c r="AR185" s="57"/>
      <c r="AS185" s="57"/>
      <c r="AT185" s="57"/>
      <c r="AU185" s="57"/>
      <c r="AV185" s="57"/>
      <c r="AW185" s="57"/>
      <c r="AX185" s="45"/>
      <c r="AY185" s="65"/>
      <c r="AZ185" s="56"/>
      <c r="BA185" s="55"/>
      <c r="BB185" s="55"/>
      <c r="BC185" s="55"/>
      <c r="BD185" s="55"/>
      <c r="BE185" s="55"/>
      <c r="BF185" s="55"/>
      <c r="BG185" s="45"/>
      <c r="BH185" s="65"/>
      <c r="BI185" s="55"/>
      <c r="BJ185" s="55"/>
      <c r="BK185" s="55"/>
      <c r="BL185" s="55"/>
      <c r="BM185" s="55"/>
      <c r="BN185" s="55"/>
      <c r="BO185" s="55"/>
      <c r="BP185" s="55"/>
      <c r="BQ185" s="65"/>
      <c r="BR185" s="55"/>
      <c r="BS185" s="55"/>
      <c r="BT185" s="55"/>
      <c r="BU185" s="55"/>
      <c r="BV185" s="55"/>
      <c r="BW185" s="55"/>
      <c r="BX185" s="55"/>
      <c r="BY185" s="55"/>
      <c r="BZ185" s="65"/>
      <c r="CA185" s="55"/>
      <c r="CB185" s="55"/>
      <c r="CC185" s="55"/>
      <c r="CD185" s="55"/>
      <c r="CE185" s="55"/>
      <c r="CF185" s="55"/>
      <c r="CG185" s="55"/>
      <c r="CH185" s="55"/>
      <c r="CI185" s="55"/>
    </row>
    <row r="186" spans="1:87">
      <c r="A186" s="12" t="str">
        <f>Roster!A186</f>
        <v/>
      </c>
      <c r="B186" s="28">
        <f>Roster!C186</f>
        <v>0</v>
      </c>
      <c r="C186" s="28" t="str">
        <f>IF(COUNTIFS(Table36103[[#This Row],[Continue Existing]:[Start New]], "TRUE")=0, "YES", "NO")</f>
        <v>YES</v>
      </c>
      <c r="D186" s="28" t="b">
        <f>COUNTIFS(Table36103[[#This Row],[Screening Results: Drug &amp; Alcohol Assessment 1]:[Other Reason 9]], "Continue with existing treatment services")&gt;0</f>
        <v>0</v>
      </c>
      <c r="E186" s="28" t="b">
        <f>COUNTIFS(Table36103[[#This Row],[Screening Results: Drug &amp; Alcohol Assessment 1]:[Other Reason 9]], "Start new service")&gt;0</f>
        <v>0</v>
      </c>
      <c r="F186" s="55"/>
      <c r="G186" s="56"/>
      <c r="H186" s="57"/>
      <c r="I186" s="57"/>
      <c r="J186" s="57"/>
      <c r="K186" s="57"/>
      <c r="L186" s="57"/>
      <c r="M186" s="57"/>
      <c r="N186" s="45"/>
      <c r="O186" s="58"/>
      <c r="P186" s="56"/>
      <c r="Q186" s="57"/>
      <c r="R186" s="57"/>
      <c r="S186" s="57"/>
      <c r="T186" s="57"/>
      <c r="U186" s="57"/>
      <c r="V186" s="57"/>
      <c r="W186" s="45"/>
      <c r="X186" s="65"/>
      <c r="Y186" s="56"/>
      <c r="Z186" s="57"/>
      <c r="AA186" s="57"/>
      <c r="AB186" s="57"/>
      <c r="AC186" s="57"/>
      <c r="AD186" s="57"/>
      <c r="AE186" s="57"/>
      <c r="AF186" s="45"/>
      <c r="AG186" s="65"/>
      <c r="AH186" s="56"/>
      <c r="AI186" s="57"/>
      <c r="AJ186" s="57"/>
      <c r="AK186" s="57"/>
      <c r="AL186" s="57"/>
      <c r="AM186" s="57"/>
      <c r="AN186" s="57"/>
      <c r="AO186" s="45"/>
      <c r="AP186" s="65"/>
      <c r="AQ186" s="56"/>
      <c r="AR186" s="57"/>
      <c r="AS186" s="57"/>
      <c r="AT186" s="57"/>
      <c r="AU186" s="57"/>
      <c r="AV186" s="57"/>
      <c r="AW186" s="57"/>
      <c r="AX186" s="45"/>
      <c r="AY186" s="65"/>
      <c r="AZ186" s="56"/>
      <c r="BA186" s="55"/>
      <c r="BB186" s="55"/>
      <c r="BC186" s="55"/>
      <c r="BD186" s="55"/>
      <c r="BE186" s="55"/>
      <c r="BF186" s="55"/>
      <c r="BG186" s="45"/>
      <c r="BH186" s="65"/>
      <c r="BI186" s="55"/>
      <c r="BJ186" s="55"/>
      <c r="BK186" s="55"/>
      <c r="BL186" s="55"/>
      <c r="BM186" s="55"/>
      <c r="BN186" s="55"/>
      <c r="BO186" s="55"/>
      <c r="BP186" s="55"/>
      <c r="BQ186" s="65"/>
      <c r="BR186" s="55"/>
      <c r="BS186" s="55"/>
      <c r="BT186" s="55"/>
      <c r="BU186" s="55"/>
      <c r="BV186" s="55"/>
      <c r="BW186" s="55"/>
      <c r="BX186" s="55"/>
      <c r="BY186" s="55"/>
      <c r="BZ186" s="65"/>
      <c r="CA186" s="55"/>
      <c r="CB186" s="55"/>
      <c r="CC186" s="55"/>
      <c r="CD186" s="55"/>
      <c r="CE186" s="55"/>
      <c r="CF186" s="55"/>
      <c r="CG186" s="55"/>
      <c r="CH186" s="55"/>
      <c r="CI186" s="55"/>
    </row>
    <row r="187" spans="1:87">
      <c r="A187" s="12" t="str">
        <f>Roster!A187</f>
        <v/>
      </c>
      <c r="B187" s="28">
        <f>Roster!C187</f>
        <v>0</v>
      </c>
      <c r="C187" s="28" t="str">
        <f>IF(COUNTIFS(Table36103[[#This Row],[Continue Existing]:[Start New]], "TRUE")=0, "YES", "NO")</f>
        <v>YES</v>
      </c>
      <c r="D187" s="28" t="b">
        <f>COUNTIFS(Table36103[[#This Row],[Screening Results: Drug &amp; Alcohol Assessment 1]:[Other Reason 9]], "Continue with existing treatment services")&gt;0</f>
        <v>0</v>
      </c>
      <c r="E187" s="28" t="b">
        <f>COUNTIFS(Table36103[[#This Row],[Screening Results: Drug &amp; Alcohol Assessment 1]:[Other Reason 9]], "Start new service")&gt;0</f>
        <v>0</v>
      </c>
      <c r="F187" s="55"/>
      <c r="G187" s="56"/>
      <c r="H187" s="57"/>
      <c r="I187" s="57"/>
      <c r="J187" s="57"/>
      <c r="K187" s="57"/>
      <c r="L187" s="57"/>
      <c r="M187" s="57"/>
      <c r="N187" s="45"/>
      <c r="O187" s="58"/>
      <c r="P187" s="56"/>
      <c r="Q187" s="57"/>
      <c r="R187" s="57"/>
      <c r="S187" s="57"/>
      <c r="T187" s="57"/>
      <c r="U187" s="57"/>
      <c r="V187" s="57"/>
      <c r="W187" s="45"/>
      <c r="X187" s="65"/>
      <c r="Y187" s="56"/>
      <c r="Z187" s="57"/>
      <c r="AA187" s="57"/>
      <c r="AB187" s="57"/>
      <c r="AC187" s="57"/>
      <c r="AD187" s="57"/>
      <c r="AE187" s="57"/>
      <c r="AF187" s="45"/>
      <c r="AG187" s="65"/>
      <c r="AH187" s="56"/>
      <c r="AI187" s="57"/>
      <c r="AJ187" s="57"/>
      <c r="AK187" s="57"/>
      <c r="AL187" s="57"/>
      <c r="AM187" s="57"/>
      <c r="AN187" s="57"/>
      <c r="AO187" s="45"/>
      <c r="AP187" s="65"/>
      <c r="AQ187" s="56"/>
      <c r="AR187" s="57"/>
      <c r="AS187" s="57"/>
      <c r="AT187" s="57"/>
      <c r="AU187" s="57"/>
      <c r="AV187" s="57"/>
      <c r="AW187" s="57"/>
      <c r="AX187" s="45"/>
      <c r="AY187" s="65"/>
      <c r="AZ187" s="56"/>
      <c r="BA187" s="55"/>
      <c r="BB187" s="55"/>
      <c r="BC187" s="55"/>
      <c r="BD187" s="55"/>
      <c r="BE187" s="55"/>
      <c r="BF187" s="55"/>
      <c r="BG187" s="45"/>
      <c r="BH187" s="65"/>
      <c r="BI187" s="55"/>
      <c r="BJ187" s="55"/>
      <c r="BK187" s="55"/>
      <c r="BL187" s="55"/>
      <c r="BM187" s="55"/>
      <c r="BN187" s="55"/>
      <c r="BO187" s="55"/>
      <c r="BP187" s="55"/>
      <c r="BQ187" s="65"/>
      <c r="BR187" s="55"/>
      <c r="BS187" s="55"/>
      <c r="BT187" s="55"/>
      <c r="BU187" s="55"/>
      <c r="BV187" s="55"/>
      <c r="BW187" s="55"/>
      <c r="BX187" s="55"/>
      <c r="BY187" s="55"/>
      <c r="BZ187" s="65"/>
      <c r="CA187" s="55"/>
      <c r="CB187" s="55"/>
      <c r="CC187" s="55"/>
      <c r="CD187" s="55"/>
      <c r="CE187" s="55"/>
      <c r="CF187" s="55"/>
      <c r="CG187" s="55"/>
      <c r="CH187" s="55"/>
      <c r="CI187" s="55"/>
    </row>
    <row r="188" spans="1:87">
      <c r="A188" s="12" t="str">
        <f>Roster!A188</f>
        <v/>
      </c>
      <c r="B188" s="28">
        <f>Roster!C188</f>
        <v>0</v>
      </c>
      <c r="C188" s="28" t="str">
        <f>IF(COUNTIFS(Table36103[[#This Row],[Continue Existing]:[Start New]], "TRUE")=0, "YES", "NO")</f>
        <v>YES</v>
      </c>
      <c r="D188" s="28" t="b">
        <f>COUNTIFS(Table36103[[#This Row],[Screening Results: Drug &amp; Alcohol Assessment 1]:[Other Reason 9]], "Continue with existing treatment services")&gt;0</f>
        <v>0</v>
      </c>
      <c r="E188" s="28" t="b">
        <f>COUNTIFS(Table36103[[#This Row],[Screening Results: Drug &amp; Alcohol Assessment 1]:[Other Reason 9]], "Start new service")&gt;0</f>
        <v>0</v>
      </c>
      <c r="F188" s="55"/>
      <c r="G188" s="56"/>
      <c r="H188" s="57"/>
      <c r="I188" s="57"/>
      <c r="J188" s="57"/>
      <c r="K188" s="57"/>
      <c r="L188" s="57"/>
      <c r="M188" s="57"/>
      <c r="N188" s="45"/>
      <c r="O188" s="58"/>
      <c r="P188" s="56"/>
      <c r="Q188" s="57"/>
      <c r="R188" s="57"/>
      <c r="S188" s="57"/>
      <c r="T188" s="57"/>
      <c r="U188" s="57"/>
      <c r="V188" s="57"/>
      <c r="W188" s="45"/>
      <c r="X188" s="65"/>
      <c r="Y188" s="56"/>
      <c r="Z188" s="57"/>
      <c r="AA188" s="57"/>
      <c r="AB188" s="57"/>
      <c r="AC188" s="57"/>
      <c r="AD188" s="57"/>
      <c r="AE188" s="57"/>
      <c r="AF188" s="45"/>
      <c r="AG188" s="65"/>
      <c r="AH188" s="56"/>
      <c r="AI188" s="57"/>
      <c r="AJ188" s="57"/>
      <c r="AK188" s="57"/>
      <c r="AL188" s="57"/>
      <c r="AM188" s="57"/>
      <c r="AN188" s="57"/>
      <c r="AO188" s="45"/>
      <c r="AP188" s="65"/>
      <c r="AQ188" s="56"/>
      <c r="AR188" s="57"/>
      <c r="AS188" s="57"/>
      <c r="AT188" s="57"/>
      <c r="AU188" s="57"/>
      <c r="AV188" s="57"/>
      <c r="AW188" s="57"/>
      <c r="AX188" s="45"/>
      <c r="AY188" s="65"/>
      <c r="AZ188" s="56"/>
      <c r="BA188" s="55"/>
      <c r="BB188" s="55"/>
      <c r="BC188" s="55"/>
      <c r="BD188" s="55"/>
      <c r="BE188" s="55"/>
      <c r="BF188" s="55"/>
      <c r="BG188" s="45"/>
      <c r="BH188" s="65"/>
      <c r="BI188" s="55"/>
      <c r="BJ188" s="55"/>
      <c r="BK188" s="55"/>
      <c r="BL188" s="55"/>
      <c r="BM188" s="55"/>
      <c r="BN188" s="55"/>
      <c r="BO188" s="55"/>
      <c r="BP188" s="55"/>
      <c r="BQ188" s="65"/>
      <c r="BR188" s="55"/>
      <c r="BS188" s="55"/>
      <c r="BT188" s="55"/>
      <c r="BU188" s="55"/>
      <c r="BV188" s="55"/>
      <c r="BW188" s="55"/>
      <c r="BX188" s="55"/>
      <c r="BY188" s="55"/>
      <c r="BZ188" s="65"/>
      <c r="CA188" s="55"/>
      <c r="CB188" s="55"/>
      <c r="CC188" s="55"/>
      <c r="CD188" s="55"/>
      <c r="CE188" s="55"/>
      <c r="CF188" s="55"/>
      <c r="CG188" s="55"/>
      <c r="CH188" s="55"/>
      <c r="CI188" s="55"/>
    </row>
    <row r="189" spans="1:87">
      <c r="A189" s="12" t="str">
        <f>Roster!A189</f>
        <v/>
      </c>
      <c r="B189" s="28">
        <f>Roster!C189</f>
        <v>0</v>
      </c>
      <c r="C189" s="28" t="str">
        <f>IF(COUNTIFS(Table36103[[#This Row],[Continue Existing]:[Start New]], "TRUE")=0, "YES", "NO")</f>
        <v>YES</v>
      </c>
      <c r="D189" s="28" t="b">
        <f>COUNTIFS(Table36103[[#This Row],[Screening Results: Drug &amp; Alcohol Assessment 1]:[Other Reason 9]], "Continue with existing treatment services")&gt;0</f>
        <v>0</v>
      </c>
      <c r="E189" s="28" t="b">
        <f>COUNTIFS(Table36103[[#This Row],[Screening Results: Drug &amp; Alcohol Assessment 1]:[Other Reason 9]], "Start new service")&gt;0</f>
        <v>0</v>
      </c>
      <c r="F189" s="55"/>
      <c r="G189" s="56"/>
      <c r="H189" s="57"/>
      <c r="I189" s="57"/>
      <c r="J189" s="57"/>
      <c r="K189" s="57"/>
      <c r="L189" s="57"/>
      <c r="M189" s="57"/>
      <c r="N189" s="45"/>
      <c r="O189" s="58"/>
      <c r="P189" s="56"/>
      <c r="Q189" s="57"/>
      <c r="R189" s="57"/>
      <c r="S189" s="57"/>
      <c r="T189" s="57"/>
      <c r="U189" s="57"/>
      <c r="V189" s="57"/>
      <c r="W189" s="45"/>
      <c r="X189" s="65"/>
      <c r="Y189" s="56"/>
      <c r="Z189" s="57"/>
      <c r="AA189" s="57"/>
      <c r="AB189" s="57"/>
      <c r="AC189" s="57"/>
      <c r="AD189" s="57"/>
      <c r="AE189" s="57"/>
      <c r="AF189" s="45"/>
      <c r="AG189" s="65"/>
      <c r="AH189" s="56"/>
      <c r="AI189" s="57"/>
      <c r="AJ189" s="57"/>
      <c r="AK189" s="57"/>
      <c r="AL189" s="57"/>
      <c r="AM189" s="57"/>
      <c r="AN189" s="57"/>
      <c r="AO189" s="45"/>
      <c r="AP189" s="65"/>
      <c r="AQ189" s="56"/>
      <c r="AR189" s="57"/>
      <c r="AS189" s="57"/>
      <c r="AT189" s="57"/>
      <c r="AU189" s="57"/>
      <c r="AV189" s="57"/>
      <c r="AW189" s="57"/>
      <c r="AX189" s="45"/>
      <c r="AY189" s="65"/>
      <c r="AZ189" s="56"/>
      <c r="BA189" s="55"/>
      <c r="BB189" s="55"/>
      <c r="BC189" s="55"/>
      <c r="BD189" s="55"/>
      <c r="BE189" s="55"/>
      <c r="BF189" s="55"/>
      <c r="BG189" s="45"/>
      <c r="BH189" s="65"/>
      <c r="BI189" s="55"/>
      <c r="BJ189" s="55"/>
      <c r="BK189" s="55"/>
      <c r="BL189" s="55"/>
      <c r="BM189" s="55"/>
      <c r="BN189" s="55"/>
      <c r="BO189" s="55"/>
      <c r="BP189" s="55"/>
      <c r="BQ189" s="65"/>
      <c r="BR189" s="55"/>
      <c r="BS189" s="55"/>
      <c r="BT189" s="55"/>
      <c r="BU189" s="55"/>
      <c r="BV189" s="55"/>
      <c r="BW189" s="55"/>
      <c r="BX189" s="55"/>
      <c r="BY189" s="55"/>
      <c r="BZ189" s="65"/>
      <c r="CA189" s="55"/>
      <c r="CB189" s="55"/>
      <c r="CC189" s="55"/>
      <c r="CD189" s="55"/>
      <c r="CE189" s="55"/>
      <c r="CF189" s="55"/>
      <c r="CG189" s="55"/>
      <c r="CH189" s="55"/>
      <c r="CI189" s="55"/>
    </row>
    <row r="190" spans="1:87">
      <c r="A190" s="12" t="str">
        <f>Roster!A190</f>
        <v/>
      </c>
      <c r="B190" s="28">
        <f>Roster!C190</f>
        <v>0</v>
      </c>
      <c r="C190" s="28" t="str">
        <f>IF(COUNTIFS(Table36103[[#This Row],[Continue Existing]:[Start New]], "TRUE")=0, "YES", "NO")</f>
        <v>YES</v>
      </c>
      <c r="D190" s="28" t="b">
        <f>COUNTIFS(Table36103[[#This Row],[Screening Results: Drug &amp; Alcohol Assessment 1]:[Other Reason 9]], "Continue with existing treatment services")&gt;0</f>
        <v>0</v>
      </c>
      <c r="E190" s="28" t="b">
        <f>COUNTIFS(Table36103[[#This Row],[Screening Results: Drug &amp; Alcohol Assessment 1]:[Other Reason 9]], "Start new service")&gt;0</f>
        <v>0</v>
      </c>
      <c r="F190" s="55"/>
      <c r="G190" s="56"/>
      <c r="H190" s="57"/>
      <c r="I190" s="57"/>
      <c r="J190" s="57"/>
      <c r="K190" s="57"/>
      <c r="L190" s="57"/>
      <c r="M190" s="57"/>
      <c r="N190" s="45"/>
      <c r="O190" s="58"/>
      <c r="P190" s="56"/>
      <c r="Q190" s="57"/>
      <c r="R190" s="57"/>
      <c r="S190" s="57"/>
      <c r="T190" s="57"/>
      <c r="U190" s="57"/>
      <c r="V190" s="57"/>
      <c r="W190" s="45"/>
      <c r="X190" s="65"/>
      <c r="Y190" s="56"/>
      <c r="Z190" s="57"/>
      <c r="AA190" s="57"/>
      <c r="AB190" s="57"/>
      <c r="AC190" s="57"/>
      <c r="AD190" s="57"/>
      <c r="AE190" s="57"/>
      <c r="AF190" s="45"/>
      <c r="AG190" s="65"/>
      <c r="AH190" s="56"/>
      <c r="AI190" s="57"/>
      <c r="AJ190" s="57"/>
      <c r="AK190" s="57"/>
      <c r="AL190" s="57"/>
      <c r="AM190" s="57"/>
      <c r="AN190" s="57"/>
      <c r="AO190" s="45"/>
      <c r="AP190" s="65"/>
      <c r="AQ190" s="56"/>
      <c r="AR190" s="57"/>
      <c r="AS190" s="57"/>
      <c r="AT190" s="57"/>
      <c r="AU190" s="57"/>
      <c r="AV190" s="57"/>
      <c r="AW190" s="57"/>
      <c r="AX190" s="45"/>
      <c r="AY190" s="65"/>
      <c r="AZ190" s="56"/>
      <c r="BA190" s="55"/>
      <c r="BB190" s="55"/>
      <c r="BC190" s="55"/>
      <c r="BD190" s="55"/>
      <c r="BE190" s="55"/>
      <c r="BF190" s="55"/>
      <c r="BG190" s="45"/>
      <c r="BH190" s="65"/>
      <c r="BI190" s="55"/>
      <c r="BJ190" s="55"/>
      <c r="BK190" s="55"/>
      <c r="BL190" s="55"/>
      <c r="BM190" s="55"/>
      <c r="BN190" s="55"/>
      <c r="BO190" s="55"/>
      <c r="BP190" s="55"/>
      <c r="BQ190" s="65"/>
      <c r="BR190" s="55"/>
      <c r="BS190" s="55"/>
      <c r="BT190" s="55"/>
      <c r="BU190" s="55"/>
      <c r="BV190" s="55"/>
      <c r="BW190" s="55"/>
      <c r="BX190" s="55"/>
      <c r="BY190" s="55"/>
      <c r="BZ190" s="65"/>
      <c r="CA190" s="55"/>
      <c r="CB190" s="55"/>
      <c r="CC190" s="55"/>
      <c r="CD190" s="55"/>
      <c r="CE190" s="55"/>
      <c r="CF190" s="55"/>
      <c r="CG190" s="55"/>
      <c r="CH190" s="55"/>
      <c r="CI190" s="55"/>
    </row>
    <row r="191" spans="1:87">
      <c r="A191" s="12" t="str">
        <f>Roster!A191</f>
        <v/>
      </c>
      <c r="B191" s="28">
        <f>Roster!C191</f>
        <v>0</v>
      </c>
      <c r="C191" s="28" t="str">
        <f>IF(COUNTIFS(Table36103[[#This Row],[Continue Existing]:[Start New]], "TRUE")=0, "YES", "NO")</f>
        <v>YES</v>
      </c>
      <c r="D191" s="28" t="b">
        <f>COUNTIFS(Table36103[[#This Row],[Screening Results: Drug &amp; Alcohol Assessment 1]:[Other Reason 9]], "Continue with existing treatment services")&gt;0</f>
        <v>0</v>
      </c>
      <c r="E191" s="28" t="b">
        <f>COUNTIFS(Table36103[[#This Row],[Screening Results: Drug &amp; Alcohol Assessment 1]:[Other Reason 9]], "Start new service")&gt;0</f>
        <v>0</v>
      </c>
      <c r="F191" s="55"/>
      <c r="G191" s="56"/>
      <c r="H191" s="57"/>
      <c r="I191" s="57"/>
      <c r="J191" s="57"/>
      <c r="K191" s="57"/>
      <c r="L191" s="57"/>
      <c r="M191" s="57"/>
      <c r="N191" s="45"/>
      <c r="O191" s="58"/>
      <c r="P191" s="56"/>
      <c r="Q191" s="57"/>
      <c r="R191" s="57"/>
      <c r="S191" s="57"/>
      <c r="T191" s="57"/>
      <c r="U191" s="57"/>
      <c r="V191" s="57"/>
      <c r="W191" s="45"/>
      <c r="X191" s="65"/>
      <c r="Y191" s="56"/>
      <c r="Z191" s="57"/>
      <c r="AA191" s="57"/>
      <c r="AB191" s="57"/>
      <c r="AC191" s="57"/>
      <c r="AD191" s="57"/>
      <c r="AE191" s="57"/>
      <c r="AF191" s="45"/>
      <c r="AG191" s="65"/>
      <c r="AH191" s="56"/>
      <c r="AI191" s="57"/>
      <c r="AJ191" s="57"/>
      <c r="AK191" s="57"/>
      <c r="AL191" s="57"/>
      <c r="AM191" s="57"/>
      <c r="AN191" s="57"/>
      <c r="AO191" s="45"/>
      <c r="AP191" s="65"/>
      <c r="AQ191" s="56"/>
      <c r="AR191" s="57"/>
      <c r="AS191" s="57"/>
      <c r="AT191" s="57"/>
      <c r="AU191" s="57"/>
      <c r="AV191" s="57"/>
      <c r="AW191" s="57"/>
      <c r="AX191" s="45"/>
      <c r="AY191" s="65"/>
      <c r="AZ191" s="56"/>
      <c r="BA191" s="55"/>
      <c r="BB191" s="55"/>
      <c r="BC191" s="55"/>
      <c r="BD191" s="55"/>
      <c r="BE191" s="55"/>
      <c r="BF191" s="55"/>
      <c r="BG191" s="45"/>
      <c r="BH191" s="65"/>
      <c r="BI191" s="55"/>
      <c r="BJ191" s="55"/>
      <c r="BK191" s="55"/>
      <c r="BL191" s="55"/>
      <c r="BM191" s="55"/>
      <c r="BN191" s="55"/>
      <c r="BO191" s="55"/>
      <c r="BP191" s="55"/>
      <c r="BQ191" s="65"/>
      <c r="BR191" s="55"/>
      <c r="BS191" s="55"/>
      <c r="BT191" s="55"/>
      <c r="BU191" s="55"/>
      <c r="BV191" s="55"/>
      <c r="BW191" s="55"/>
      <c r="BX191" s="55"/>
      <c r="BY191" s="55"/>
      <c r="BZ191" s="65"/>
      <c r="CA191" s="55"/>
      <c r="CB191" s="55"/>
      <c r="CC191" s="55"/>
      <c r="CD191" s="55"/>
      <c r="CE191" s="55"/>
      <c r="CF191" s="55"/>
      <c r="CG191" s="55"/>
      <c r="CH191" s="55"/>
      <c r="CI191" s="55"/>
    </row>
    <row r="192" spans="1:87">
      <c r="A192" s="12" t="str">
        <f>Roster!A192</f>
        <v/>
      </c>
      <c r="B192" s="28">
        <f>Roster!C192</f>
        <v>0</v>
      </c>
      <c r="C192" s="28" t="str">
        <f>IF(COUNTIFS(Table36103[[#This Row],[Continue Existing]:[Start New]], "TRUE")=0, "YES", "NO")</f>
        <v>YES</v>
      </c>
      <c r="D192" s="28" t="b">
        <f>COUNTIFS(Table36103[[#This Row],[Screening Results: Drug &amp; Alcohol Assessment 1]:[Other Reason 9]], "Continue with existing treatment services")&gt;0</f>
        <v>0</v>
      </c>
      <c r="E192" s="28" t="b">
        <f>COUNTIFS(Table36103[[#This Row],[Screening Results: Drug &amp; Alcohol Assessment 1]:[Other Reason 9]], "Start new service")&gt;0</f>
        <v>0</v>
      </c>
      <c r="F192" s="55"/>
      <c r="G192" s="56"/>
      <c r="H192" s="57"/>
      <c r="I192" s="57"/>
      <c r="J192" s="57"/>
      <c r="K192" s="57"/>
      <c r="L192" s="57"/>
      <c r="M192" s="57"/>
      <c r="N192" s="45"/>
      <c r="O192" s="58"/>
      <c r="P192" s="56"/>
      <c r="Q192" s="57"/>
      <c r="R192" s="57"/>
      <c r="S192" s="57"/>
      <c r="T192" s="57"/>
      <c r="U192" s="57"/>
      <c r="V192" s="57"/>
      <c r="W192" s="45"/>
      <c r="X192" s="65"/>
      <c r="Y192" s="56"/>
      <c r="Z192" s="57"/>
      <c r="AA192" s="57"/>
      <c r="AB192" s="57"/>
      <c r="AC192" s="57"/>
      <c r="AD192" s="57"/>
      <c r="AE192" s="57"/>
      <c r="AF192" s="45"/>
      <c r="AG192" s="65"/>
      <c r="AH192" s="56"/>
      <c r="AI192" s="57"/>
      <c r="AJ192" s="57"/>
      <c r="AK192" s="57"/>
      <c r="AL192" s="57"/>
      <c r="AM192" s="57"/>
      <c r="AN192" s="57"/>
      <c r="AO192" s="45"/>
      <c r="AP192" s="65"/>
      <c r="AQ192" s="56"/>
      <c r="AR192" s="57"/>
      <c r="AS192" s="57"/>
      <c r="AT192" s="57"/>
      <c r="AU192" s="57"/>
      <c r="AV192" s="57"/>
      <c r="AW192" s="57"/>
      <c r="AX192" s="45"/>
      <c r="AY192" s="65"/>
      <c r="AZ192" s="56"/>
      <c r="BA192" s="55"/>
      <c r="BB192" s="55"/>
      <c r="BC192" s="55"/>
      <c r="BD192" s="55"/>
      <c r="BE192" s="55"/>
      <c r="BF192" s="55"/>
      <c r="BG192" s="45"/>
      <c r="BH192" s="65"/>
      <c r="BI192" s="55"/>
      <c r="BJ192" s="55"/>
      <c r="BK192" s="55"/>
      <c r="BL192" s="55"/>
      <c r="BM192" s="55"/>
      <c r="BN192" s="55"/>
      <c r="BO192" s="55"/>
      <c r="BP192" s="55"/>
      <c r="BQ192" s="65"/>
      <c r="BR192" s="55"/>
      <c r="BS192" s="55"/>
      <c r="BT192" s="55"/>
      <c r="BU192" s="55"/>
      <c r="BV192" s="55"/>
      <c r="BW192" s="55"/>
      <c r="BX192" s="55"/>
      <c r="BY192" s="55"/>
      <c r="BZ192" s="65"/>
      <c r="CA192" s="55"/>
      <c r="CB192" s="55"/>
      <c r="CC192" s="55"/>
      <c r="CD192" s="55"/>
      <c r="CE192" s="55"/>
      <c r="CF192" s="55"/>
      <c r="CG192" s="55"/>
      <c r="CH192" s="55"/>
      <c r="CI192" s="55"/>
    </row>
    <row r="193" spans="1:87">
      <c r="A193" s="12" t="str">
        <f>Roster!A193</f>
        <v/>
      </c>
      <c r="B193" s="28">
        <f>Roster!C193</f>
        <v>0</v>
      </c>
      <c r="C193" s="28" t="str">
        <f>IF(COUNTIFS(Table36103[[#This Row],[Continue Existing]:[Start New]], "TRUE")=0, "YES", "NO")</f>
        <v>YES</v>
      </c>
      <c r="D193" s="28" t="b">
        <f>COUNTIFS(Table36103[[#This Row],[Screening Results: Drug &amp; Alcohol Assessment 1]:[Other Reason 9]], "Continue with existing treatment services")&gt;0</f>
        <v>0</v>
      </c>
      <c r="E193" s="28" t="b">
        <f>COUNTIFS(Table36103[[#This Row],[Screening Results: Drug &amp; Alcohol Assessment 1]:[Other Reason 9]], "Start new service")&gt;0</f>
        <v>0</v>
      </c>
      <c r="F193" s="55"/>
      <c r="G193" s="56"/>
      <c r="H193" s="57"/>
      <c r="I193" s="57"/>
      <c r="J193" s="57"/>
      <c r="K193" s="57"/>
      <c r="L193" s="57"/>
      <c r="M193" s="57"/>
      <c r="N193" s="45"/>
      <c r="O193" s="58"/>
      <c r="P193" s="56"/>
      <c r="Q193" s="57"/>
      <c r="R193" s="57"/>
      <c r="S193" s="57"/>
      <c r="T193" s="57"/>
      <c r="U193" s="57"/>
      <c r="V193" s="57"/>
      <c r="W193" s="45"/>
      <c r="X193" s="65"/>
      <c r="Y193" s="56"/>
      <c r="Z193" s="57"/>
      <c r="AA193" s="57"/>
      <c r="AB193" s="57"/>
      <c r="AC193" s="57"/>
      <c r="AD193" s="57"/>
      <c r="AE193" s="57"/>
      <c r="AF193" s="45"/>
      <c r="AG193" s="65"/>
      <c r="AH193" s="56"/>
      <c r="AI193" s="57"/>
      <c r="AJ193" s="57"/>
      <c r="AK193" s="57"/>
      <c r="AL193" s="57"/>
      <c r="AM193" s="57"/>
      <c r="AN193" s="57"/>
      <c r="AO193" s="45"/>
      <c r="AP193" s="65"/>
      <c r="AQ193" s="56"/>
      <c r="AR193" s="57"/>
      <c r="AS193" s="57"/>
      <c r="AT193" s="57"/>
      <c r="AU193" s="57"/>
      <c r="AV193" s="57"/>
      <c r="AW193" s="57"/>
      <c r="AX193" s="45"/>
      <c r="AY193" s="65"/>
      <c r="AZ193" s="56"/>
      <c r="BA193" s="55"/>
      <c r="BB193" s="55"/>
      <c r="BC193" s="55"/>
      <c r="BD193" s="55"/>
      <c r="BE193" s="55"/>
      <c r="BF193" s="55"/>
      <c r="BG193" s="45"/>
      <c r="BH193" s="65"/>
      <c r="BI193" s="55"/>
      <c r="BJ193" s="55"/>
      <c r="BK193" s="55"/>
      <c r="BL193" s="55"/>
      <c r="BM193" s="55"/>
      <c r="BN193" s="55"/>
      <c r="BO193" s="55"/>
      <c r="BP193" s="55"/>
      <c r="BQ193" s="65"/>
      <c r="BR193" s="55"/>
      <c r="BS193" s="55"/>
      <c r="BT193" s="55"/>
      <c r="BU193" s="55"/>
      <c r="BV193" s="55"/>
      <c r="BW193" s="55"/>
      <c r="BX193" s="55"/>
      <c r="BY193" s="55"/>
      <c r="BZ193" s="65"/>
      <c r="CA193" s="55"/>
      <c r="CB193" s="55"/>
      <c r="CC193" s="55"/>
      <c r="CD193" s="55"/>
      <c r="CE193" s="55"/>
      <c r="CF193" s="55"/>
      <c r="CG193" s="55"/>
      <c r="CH193" s="55"/>
      <c r="CI193" s="55"/>
    </row>
    <row r="194" spans="1:87">
      <c r="A194" s="12" t="str">
        <f>Roster!A194</f>
        <v/>
      </c>
      <c r="B194" s="28">
        <f>Roster!C194</f>
        <v>0</v>
      </c>
      <c r="C194" s="28" t="str">
        <f>IF(COUNTIFS(Table36103[[#This Row],[Continue Existing]:[Start New]], "TRUE")=0, "YES", "NO")</f>
        <v>YES</v>
      </c>
      <c r="D194" s="28" t="b">
        <f>COUNTIFS(Table36103[[#This Row],[Screening Results: Drug &amp; Alcohol Assessment 1]:[Other Reason 9]], "Continue with existing treatment services")&gt;0</f>
        <v>0</v>
      </c>
      <c r="E194" s="28" t="b">
        <f>COUNTIFS(Table36103[[#This Row],[Screening Results: Drug &amp; Alcohol Assessment 1]:[Other Reason 9]], "Start new service")&gt;0</f>
        <v>0</v>
      </c>
      <c r="F194" s="55"/>
      <c r="G194" s="56"/>
      <c r="H194" s="57"/>
      <c r="I194" s="57"/>
      <c r="J194" s="57"/>
      <c r="K194" s="57"/>
      <c r="L194" s="57"/>
      <c r="M194" s="57"/>
      <c r="N194" s="45"/>
      <c r="O194" s="58"/>
      <c r="P194" s="56"/>
      <c r="Q194" s="57"/>
      <c r="R194" s="57"/>
      <c r="S194" s="57"/>
      <c r="T194" s="57"/>
      <c r="U194" s="57"/>
      <c r="V194" s="57"/>
      <c r="W194" s="45"/>
      <c r="X194" s="65"/>
      <c r="Y194" s="56"/>
      <c r="Z194" s="57"/>
      <c r="AA194" s="57"/>
      <c r="AB194" s="57"/>
      <c r="AC194" s="57"/>
      <c r="AD194" s="57"/>
      <c r="AE194" s="57"/>
      <c r="AF194" s="45"/>
      <c r="AG194" s="65"/>
      <c r="AH194" s="56"/>
      <c r="AI194" s="57"/>
      <c r="AJ194" s="57"/>
      <c r="AK194" s="57"/>
      <c r="AL194" s="57"/>
      <c r="AM194" s="57"/>
      <c r="AN194" s="57"/>
      <c r="AO194" s="45"/>
      <c r="AP194" s="65"/>
      <c r="AQ194" s="56"/>
      <c r="AR194" s="57"/>
      <c r="AS194" s="57"/>
      <c r="AT194" s="57"/>
      <c r="AU194" s="57"/>
      <c r="AV194" s="57"/>
      <c r="AW194" s="57"/>
      <c r="AX194" s="45"/>
      <c r="AY194" s="65"/>
      <c r="AZ194" s="56"/>
      <c r="BA194" s="55"/>
      <c r="BB194" s="55"/>
      <c r="BC194" s="55"/>
      <c r="BD194" s="55"/>
      <c r="BE194" s="55"/>
      <c r="BF194" s="55"/>
      <c r="BG194" s="45"/>
      <c r="BH194" s="65"/>
      <c r="BI194" s="55"/>
      <c r="BJ194" s="55"/>
      <c r="BK194" s="55"/>
      <c r="BL194" s="55"/>
      <c r="BM194" s="55"/>
      <c r="BN194" s="55"/>
      <c r="BO194" s="55"/>
      <c r="BP194" s="55"/>
      <c r="BQ194" s="65"/>
      <c r="BR194" s="55"/>
      <c r="BS194" s="55"/>
      <c r="BT194" s="55"/>
      <c r="BU194" s="55"/>
      <c r="BV194" s="55"/>
      <c r="BW194" s="55"/>
      <c r="BX194" s="55"/>
      <c r="BY194" s="55"/>
      <c r="BZ194" s="65"/>
      <c r="CA194" s="55"/>
      <c r="CB194" s="55"/>
      <c r="CC194" s="55"/>
      <c r="CD194" s="55"/>
      <c r="CE194" s="55"/>
      <c r="CF194" s="55"/>
      <c r="CG194" s="55"/>
      <c r="CH194" s="55"/>
      <c r="CI194" s="55"/>
    </row>
    <row r="195" spans="1:87">
      <c r="A195" s="12" t="str">
        <f>Roster!A195</f>
        <v/>
      </c>
      <c r="B195" s="28">
        <f>Roster!C195</f>
        <v>0</v>
      </c>
      <c r="C195" s="28" t="str">
        <f>IF(COUNTIFS(Table36103[[#This Row],[Continue Existing]:[Start New]], "TRUE")=0, "YES", "NO")</f>
        <v>YES</v>
      </c>
      <c r="D195" s="28" t="b">
        <f>COUNTIFS(Table36103[[#This Row],[Screening Results: Drug &amp; Alcohol Assessment 1]:[Other Reason 9]], "Continue with existing treatment services")&gt;0</f>
        <v>0</v>
      </c>
      <c r="E195" s="28" t="b">
        <f>COUNTIFS(Table36103[[#This Row],[Screening Results: Drug &amp; Alcohol Assessment 1]:[Other Reason 9]], "Start new service")&gt;0</f>
        <v>0</v>
      </c>
      <c r="F195" s="55"/>
      <c r="G195" s="56"/>
      <c r="H195" s="57"/>
      <c r="I195" s="57"/>
      <c r="J195" s="57"/>
      <c r="K195" s="57"/>
      <c r="L195" s="57"/>
      <c r="M195" s="57"/>
      <c r="N195" s="45"/>
      <c r="O195" s="58"/>
      <c r="P195" s="56"/>
      <c r="Q195" s="57"/>
      <c r="R195" s="57"/>
      <c r="S195" s="57"/>
      <c r="T195" s="57"/>
      <c r="U195" s="57"/>
      <c r="V195" s="57"/>
      <c r="W195" s="45"/>
      <c r="X195" s="65"/>
      <c r="Y195" s="56"/>
      <c r="Z195" s="57"/>
      <c r="AA195" s="57"/>
      <c r="AB195" s="57"/>
      <c r="AC195" s="57"/>
      <c r="AD195" s="57"/>
      <c r="AE195" s="57"/>
      <c r="AF195" s="45"/>
      <c r="AG195" s="65"/>
      <c r="AH195" s="56"/>
      <c r="AI195" s="57"/>
      <c r="AJ195" s="57"/>
      <c r="AK195" s="57"/>
      <c r="AL195" s="57"/>
      <c r="AM195" s="57"/>
      <c r="AN195" s="57"/>
      <c r="AO195" s="45"/>
      <c r="AP195" s="65"/>
      <c r="AQ195" s="56"/>
      <c r="AR195" s="57"/>
      <c r="AS195" s="57"/>
      <c r="AT195" s="57"/>
      <c r="AU195" s="57"/>
      <c r="AV195" s="57"/>
      <c r="AW195" s="57"/>
      <c r="AX195" s="45"/>
      <c r="AY195" s="65"/>
      <c r="AZ195" s="56"/>
      <c r="BA195" s="55"/>
      <c r="BB195" s="55"/>
      <c r="BC195" s="55"/>
      <c r="BD195" s="55"/>
      <c r="BE195" s="55"/>
      <c r="BF195" s="55"/>
      <c r="BG195" s="45"/>
      <c r="BH195" s="65"/>
      <c r="BI195" s="55"/>
      <c r="BJ195" s="55"/>
      <c r="BK195" s="55"/>
      <c r="BL195" s="55"/>
      <c r="BM195" s="55"/>
      <c r="BN195" s="55"/>
      <c r="BO195" s="55"/>
      <c r="BP195" s="55"/>
      <c r="BQ195" s="65"/>
      <c r="BR195" s="55"/>
      <c r="BS195" s="55"/>
      <c r="BT195" s="55"/>
      <c r="BU195" s="55"/>
      <c r="BV195" s="55"/>
      <c r="BW195" s="55"/>
      <c r="BX195" s="55"/>
      <c r="BY195" s="55"/>
      <c r="BZ195" s="65"/>
      <c r="CA195" s="55"/>
      <c r="CB195" s="55"/>
      <c r="CC195" s="55"/>
      <c r="CD195" s="55"/>
      <c r="CE195" s="55"/>
      <c r="CF195" s="55"/>
      <c r="CG195" s="55"/>
      <c r="CH195" s="55"/>
      <c r="CI195" s="55"/>
    </row>
    <row r="196" spans="1:87">
      <c r="A196" s="12" t="str">
        <f>Roster!A196</f>
        <v/>
      </c>
      <c r="B196" s="28">
        <f>Roster!C196</f>
        <v>0</v>
      </c>
      <c r="C196" s="28" t="str">
        <f>IF(COUNTIFS(Table36103[[#This Row],[Continue Existing]:[Start New]], "TRUE")=0, "YES", "NO")</f>
        <v>YES</v>
      </c>
      <c r="D196" s="28" t="b">
        <f>COUNTIFS(Table36103[[#This Row],[Screening Results: Drug &amp; Alcohol Assessment 1]:[Other Reason 9]], "Continue with existing treatment services")&gt;0</f>
        <v>0</v>
      </c>
      <c r="E196" s="28" t="b">
        <f>COUNTIFS(Table36103[[#This Row],[Screening Results: Drug &amp; Alcohol Assessment 1]:[Other Reason 9]], "Start new service")&gt;0</f>
        <v>0</v>
      </c>
      <c r="F196" s="55"/>
      <c r="G196" s="56"/>
      <c r="H196" s="57"/>
      <c r="I196" s="57"/>
      <c r="J196" s="57"/>
      <c r="K196" s="57"/>
      <c r="L196" s="57"/>
      <c r="M196" s="57"/>
      <c r="N196" s="45"/>
      <c r="O196" s="58"/>
      <c r="P196" s="56"/>
      <c r="Q196" s="57"/>
      <c r="R196" s="57"/>
      <c r="S196" s="57"/>
      <c r="T196" s="57"/>
      <c r="U196" s="57"/>
      <c r="V196" s="57"/>
      <c r="W196" s="45"/>
      <c r="X196" s="65"/>
      <c r="Y196" s="56"/>
      <c r="Z196" s="57"/>
      <c r="AA196" s="57"/>
      <c r="AB196" s="57"/>
      <c r="AC196" s="57"/>
      <c r="AD196" s="57"/>
      <c r="AE196" s="57"/>
      <c r="AF196" s="45"/>
      <c r="AG196" s="65"/>
      <c r="AH196" s="56"/>
      <c r="AI196" s="57"/>
      <c r="AJ196" s="57"/>
      <c r="AK196" s="57"/>
      <c r="AL196" s="57"/>
      <c r="AM196" s="57"/>
      <c r="AN196" s="57"/>
      <c r="AO196" s="45"/>
      <c r="AP196" s="65"/>
      <c r="AQ196" s="56"/>
      <c r="AR196" s="57"/>
      <c r="AS196" s="57"/>
      <c r="AT196" s="57"/>
      <c r="AU196" s="57"/>
      <c r="AV196" s="57"/>
      <c r="AW196" s="57"/>
      <c r="AX196" s="45"/>
      <c r="AY196" s="65"/>
      <c r="AZ196" s="56"/>
      <c r="BA196" s="55"/>
      <c r="BB196" s="55"/>
      <c r="BC196" s="55"/>
      <c r="BD196" s="55"/>
      <c r="BE196" s="55"/>
      <c r="BF196" s="55"/>
      <c r="BG196" s="45"/>
      <c r="BH196" s="65"/>
      <c r="BI196" s="55"/>
      <c r="BJ196" s="55"/>
      <c r="BK196" s="55"/>
      <c r="BL196" s="55"/>
      <c r="BM196" s="55"/>
      <c r="BN196" s="55"/>
      <c r="BO196" s="55"/>
      <c r="BP196" s="55"/>
      <c r="BQ196" s="65"/>
      <c r="BR196" s="55"/>
      <c r="BS196" s="55"/>
      <c r="BT196" s="55"/>
      <c r="BU196" s="55"/>
      <c r="BV196" s="55"/>
      <c r="BW196" s="55"/>
      <c r="BX196" s="55"/>
      <c r="BY196" s="55"/>
      <c r="BZ196" s="65"/>
      <c r="CA196" s="55"/>
      <c r="CB196" s="55"/>
      <c r="CC196" s="55"/>
      <c r="CD196" s="55"/>
      <c r="CE196" s="55"/>
      <c r="CF196" s="55"/>
      <c r="CG196" s="55"/>
      <c r="CH196" s="55"/>
      <c r="CI196" s="55"/>
    </row>
    <row r="197" spans="1:87">
      <c r="A197" s="12" t="str">
        <f>Roster!A197</f>
        <v/>
      </c>
      <c r="B197" s="28">
        <f>Roster!C197</f>
        <v>0</v>
      </c>
      <c r="C197" s="28" t="str">
        <f>IF(COUNTIFS(Table36103[[#This Row],[Continue Existing]:[Start New]], "TRUE")=0, "YES", "NO")</f>
        <v>YES</v>
      </c>
      <c r="D197" s="28" t="b">
        <f>COUNTIFS(Table36103[[#This Row],[Screening Results: Drug &amp; Alcohol Assessment 1]:[Other Reason 9]], "Continue with existing treatment services")&gt;0</f>
        <v>0</v>
      </c>
      <c r="E197" s="28" t="b">
        <f>COUNTIFS(Table36103[[#This Row],[Screening Results: Drug &amp; Alcohol Assessment 1]:[Other Reason 9]], "Start new service")&gt;0</f>
        <v>0</v>
      </c>
      <c r="F197" s="55"/>
      <c r="G197" s="56"/>
      <c r="H197" s="57"/>
      <c r="I197" s="57"/>
      <c r="J197" s="57"/>
      <c r="K197" s="57"/>
      <c r="L197" s="57"/>
      <c r="M197" s="57"/>
      <c r="N197" s="45"/>
      <c r="O197" s="58"/>
      <c r="P197" s="56"/>
      <c r="Q197" s="57"/>
      <c r="R197" s="57"/>
      <c r="S197" s="57"/>
      <c r="T197" s="57"/>
      <c r="U197" s="57"/>
      <c r="V197" s="57"/>
      <c r="W197" s="45"/>
      <c r="X197" s="65"/>
      <c r="Y197" s="56"/>
      <c r="Z197" s="57"/>
      <c r="AA197" s="57"/>
      <c r="AB197" s="57"/>
      <c r="AC197" s="57"/>
      <c r="AD197" s="57"/>
      <c r="AE197" s="57"/>
      <c r="AF197" s="45"/>
      <c r="AG197" s="65"/>
      <c r="AH197" s="56"/>
      <c r="AI197" s="57"/>
      <c r="AJ197" s="57"/>
      <c r="AK197" s="57"/>
      <c r="AL197" s="57"/>
      <c r="AM197" s="57"/>
      <c r="AN197" s="57"/>
      <c r="AO197" s="45"/>
      <c r="AP197" s="65"/>
      <c r="AQ197" s="56"/>
      <c r="AR197" s="57"/>
      <c r="AS197" s="57"/>
      <c r="AT197" s="57"/>
      <c r="AU197" s="57"/>
      <c r="AV197" s="57"/>
      <c r="AW197" s="57"/>
      <c r="AX197" s="45"/>
      <c r="AY197" s="65"/>
      <c r="AZ197" s="56"/>
      <c r="BA197" s="55"/>
      <c r="BB197" s="55"/>
      <c r="BC197" s="55"/>
      <c r="BD197" s="55"/>
      <c r="BE197" s="55"/>
      <c r="BF197" s="55"/>
      <c r="BG197" s="45"/>
      <c r="BH197" s="65"/>
      <c r="BI197" s="55"/>
      <c r="BJ197" s="55"/>
      <c r="BK197" s="55"/>
      <c r="BL197" s="55"/>
      <c r="BM197" s="55"/>
      <c r="BN197" s="55"/>
      <c r="BO197" s="55"/>
      <c r="BP197" s="55"/>
      <c r="BQ197" s="65"/>
      <c r="BR197" s="55"/>
      <c r="BS197" s="55"/>
      <c r="BT197" s="55"/>
      <c r="BU197" s="55"/>
      <c r="BV197" s="55"/>
      <c r="BW197" s="55"/>
      <c r="BX197" s="55"/>
      <c r="BY197" s="55"/>
      <c r="BZ197" s="65"/>
      <c r="CA197" s="55"/>
      <c r="CB197" s="55"/>
      <c r="CC197" s="55"/>
      <c r="CD197" s="55"/>
      <c r="CE197" s="55"/>
      <c r="CF197" s="55"/>
      <c r="CG197" s="55"/>
      <c r="CH197" s="55"/>
      <c r="CI197" s="55"/>
    </row>
    <row r="198" spans="1:87">
      <c r="A198" s="12" t="str">
        <f>Roster!A198</f>
        <v/>
      </c>
      <c r="B198" s="28">
        <f>Roster!C198</f>
        <v>0</v>
      </c>
      <c r="C198" s="28" t="str">
        <f>IF(COUNTIFS(Table36103[[#This Row],[Continue Existing]:[Start New]], "TRUE")=0, "YES", "NO")</f>
        <v>YES</v>
      </c>
      <c r="D198" s="28" t="b">
        <f>COUNTIFS(Table36103[[#This Row],[Screening Results: Drug &amp; Alcohol Assessment 1]:[Other Reason 9]], "Continue with existing treatment services")&gt;0</f>
        <v>0</v>
      </c>
      <c r="E198" s="28" t="b">
        <f>COUNTIFS(Table36103[[#This Row],[Screening Results: Drug &amp; Alcohol Assessment 1]:[Other Reason 9]], "Start new service")&gt;0</f>
        <v>0</v>
      </c>
      <c r="F198" s="55"/>
      <c r="G198" s="56"/>
      <c r="H198" s="57"/>
      <c r="I198" s="57"/>
      <c r="J198" s="57"/>
      <c r="K198" s="57"/>
      <c r="L198" s="57"/>
      <c r="M198" s="57"/>
      <c r="N198" s="45"/>
      <c r="O198" s="58"/>
      <c r="P198" s="56"/>
      <c r="Q198" s="57"/>
      <c r="R198" s="57"/>
      <c r="S198" s="57"/>
      <c r="T198" s="57"/>
      <c r="U198" s="57"/>
      <c r="V198" s="57"/>
      <c r="W198" s="45"/>
      <c r="X198" s="65"/>
      <c r="Y198" s="56"/>
      <c r="Z198" s="57"/>
      <c r="AA198" s="57"/>
      <c r="AB198" s="57"/>
      <c r="AC198" s="57"/>
      <c r="AD198" s="57"/>
      <c r="AE198" s="57"/>
      <c r="AF198" s="45"/>
      <c r="AG198" s="65"/>
      <c r="AH198" s="56"/>
      <c r="AI198" s="57"/>
      <c r="AJ198" s="57"/>
      <c r="AK198" s="57"/>
      <c r="AL198" s="57"/>
      <c r="AM198" s="57"/>
      <c r="AN198" s="57"/>
      <c r="AO198" s="45"/>
      <c r="AP198" s="65"/>
      <c r="AQ198" s="56"/>
      <c r="AR198" s="57"/>
      <c r="AS198" s="57"/>
      <c r="AT198" s="57"/>
      <c r="AU198" s="57"/>
      <c r="AV198" s="57"/>
      <c r="AW198" s="57"/>
      <c r="AX198" s="45"/>
      <c r="AY198" s="65"/>
      <c r="AZ198" s="56"/>
      <c r="BA198" s="55"/>
      <c r="BB198" s="55"/>
      <c r="BC198" s="55"/>
      <c r="BD198" s="55"/>
      <c r="BE198" s="55"/>
      <c r="BF198" s="55"/>
      <c r="BG198" s="45"/>
      <c r="BH198" s="65"/>
      <c r="BI198" s="55"/>
      <c r="BJ198" s="55"/>
      <c r="BK198" s="55"/>
      <c r="BL198" s="55"/>
      <c r="BM198" s="55"/>
      <c r="BN198" s="55"/>
      <c r="BO198" s="55"/>
      <c r="BP198" s="55"/>
      <c r="BQ198" s="65"/>
      <c r="BR198" s="55"/>
      <c r="BS198" s="55"/>
      <c r="BT198" s="55"/>
      <c r="BU198" s="55"/>
      <c r="BV198" s="55"/>
      <c r="BW198" s="55"/>
      <c r="BX198" s="55"/>
      <c r="BY198" s="55"/>
      <c r="BZ198" s="65"/>
      <c r="CA198" s="55"/>
      <c r="CB198" s="55"/>
      <c r="CC198" s="55"/>
      <c r="CD198" s="55"/>
      <c r="CE198" s="55"/>
      <c r="CF198" s="55"/>
      <c r="CG198" s="55"/>
      <c r="CH198" s="55"/>
      <c r="CI198" s="55"/>
    </row>
    <row r="199" spans="1:87">
      <c r="A199" s="12" t="str">
        <f>Roster!A199</f>
        <v/>
      </c>
      <c r="B199" s="28">
        <f>Roster!C199</f>
        <v>0</v>
      </c>
      <c r="C199" s="28" t="str">
        <f>IF(COUNTIFS(Table36103[[#This Row],[Continue Existing]:[Start New]], "TRUE")=0, "YES", "NO")</f>
        <v>YES</v>
      </c>
      <c r="D199" s="28" t="b">
        <f>COUNTIFS(Table36103[[#This Row],[Screening Results: Drug &amp; Alcohol Assessment 1]:[Other Reason 9]], "Continue with existing treatment services")&gt;0</f>
        <v>0</v>
      </c>
      <c r="E199" s="28" t="b">
        <f>COUNTIFS(Table36103[[#This Row],[Screening Results: Drug &amp; Alcohol Assessment 1]:[Other Reason 9]], "Start new service")&gt;0</f>
        <v>0</v>
      </c>
      <c r="F199" s="55"/>
      <c r="G199" s="56"/>
      <c r="H199" s="57"/>
      <c r="I199" s="57"/>
      <c r="J199" s="57"/>
      <c r="K199" s="57"/>
      <c r="L199" s="57"/>
      <c r="M199" s="57"/>
      <c r="N199" s="45"/>
      <c r="O199" s="58"/>
      <c r="P199" s="56"/>
      <c r="Q199" s="57"/>
      <c r="R199" s="57"/>
      <c r="S199" s="57"/>
      <c r="T199" s="57"/>
      <c r="U199" s="57"/>
      <c r="V199" s="57"/>
      <c r="W199" s="45"/>
      <c r="X199" s="65"/>
      <c r="Y199" s="56"/>
      <c r="Z199" s="57"/>
      <c r="AA199" s="57"/>
      <c r="AB199" s="57"/>
      <c r="AC199" s="57"/>
      <c r="AD199" s="57"/>
      <c r="AE199" s="57"/>
      <c r="AF199" s="45"/>
      <c r="AG199" s="65"/>
      <c r="AH199" s="56"/>
      <c r="AI199" s="57"/>
      <c r="AJ199" s="57"/>
      <c r="AK199" s="57"/>
      <c r="AL199" s="57"/>
      <c r="AM199" s="57"/>
      <c r="AN199" s="57"/>
      <c r="AO199" s="45"/>
      <c r="AP199" s="65"/>
      <c r="AQ199" s="56"/>
      <c r="AR199" s="57"/>
      <c r="AS199" s="57"/>
      <c r="AT199" s="57"/>
      <c r="AU199" s="57"/>
      <c r="AV199" s="57"/>
      <c r="AW199" s="57"/>
      <c r="AX199" s="45"/>
      <c r="AY199" s="65"/>
      <c r="AZ199" s="56"/>
      <c r="BA199" s="55"/>
      <c r="BB199" s="55"/>
      <c r="BC199" s="55"/>
      <c r="BD199" s="55"/>
      <c r="BE199" s="55"/>
      <c r="BF199" s="55"/>
      <c r="BG199" s="45"/>
      <c r="BH199" s="65"/>
      <c r="BI199" s="55"/>
      <c r="BJ199" s="55"/>
      <c r="BK199" s="55"/>
      <c r="BL199" s="55"/>
      <c r="BM199" s="55"/>
      <c r="BN199" s="55"/>
      <c r="BO199" s="55"/>
      <c r="BP199" s="55"/>
      <c r="BQ199" s="65"/>
      <c r="BR199" s="55"/>
      <c r="BS199" s="55"/>
      <c r="BT199" s="55"/>
      <c r="BU199" s="55"/>
      <c r="BV199" s="55"/>
      <c r="BW199" s="55"/>
      <c r="BX199" s="55"/>
      <c r="BY199" s="55"/>
      <c r="BZ199" s="65"/>
      <c r="CA199" s="55"/>
      <c r="CB199" s="55"/>
      <c r="CC199" s="55"/>
      <c r="CD199" s="55"/>
      <c r="CE199" s="55"/>
      <c r="CF199" s="55"/>
      <c r="CG199" s="55"/>
      <c r="CH199" s="55"/>
      <c r="CI199" s="55"/>
    </row>
    <row r="200" spans="1:87">
      <c r="A200" s="12" t="str">
        <f>Roster!A200</f>
        <v/>
      </c>
      <c r="B200" s="28">
        <f>Roster!C200</f>
        <v>0</v>
      </c>
      <c r="C200" s="28" t="str">
        <f>IF(COUNTIFS(Table36103[[#This Row],[Continue Existing]:[Start New]], "TRUE")=0, "YES", "NO")</f>
        <v>YES</v>
      </c>
      <c r="D200" s="28" t="b">
        <f>COUNTIFS(Table36103[[#This Row],[Screening Results: Drug &amp; Alcohol Assessment 1]:[Other Reason 9]], "Continue with existing treatment services")&gt;0</f>
        <v>0</v>
      </c>
      <c r="E200" s="28" t="b">
        <f>COUNTIFS(Table36103[[#This Row],[Screening Results: Drug &amp; Alcohol Assessment 1]:[Other Reason 9]], "Start new service")&gt;0</f>
        <v>0</v>
      </c>
      <c r="F200" s="55"/>
      <c r="G200" s="56"/>
      <c r="H200" s="57"/>
      <c r="I200" s="57"/>
      <c r="J200" s="57"/>
      <c r="K200" s="57"/>
      <c r="L200" s="57"/>
      <c r="M200" s="57"/>
      <c r="N200" s="45"/>
      <c r="O200" s="58"/>
      <c r="P200" s="56"/>
      <c r="Q200" s="57"/>
      <c r="R200" s="57"/>
      <c r="S200" s="57"/>
      <c r="T200" s="57"/>
      <c r="U200" s="57"/>
      <c r="V200" s="57"/>
      <c r="W200" s="45"/>
      <c r="X200" s="65"/>
      <c r="Y200" s="56"/>
      <c r="Z200" s="57"/>
      <c r="AA200" s="57"/>
      <c r="AB200" s="57"/>
      <c r="AC200" s="57"/>
      <c r="AD200" s="57"/>
      <c r="AE200" s="57"/>
      <c r="AF200" s="45"/>
      <c r="AG200" s="65"/>
      <c r="AH200" s="56"/>
      <c r="AI200" s="57"/>
      <c r="AJ200" s="57"/>
      <c r="AK200" s="57"/>
      <c r="AL200" s="57"/>
      <c r="AM200" s="57"/>
      <c r="AN200" s="57"/>
      <c r="AO200" s="45"/>
      <c r="AP200" s="65"/>
      <c r="AQ200" s="56"/>
      <c r="AR200" s="57"/>
      <c r="AS200" s="57"/>
      <c r="AT200" s="57"/>
      <c r="AU200" s="57"/>
      <c r="AV200" s="57"/>
      <c r="AW200" s="57"/>
      <c r="AX200" s="45"/>
      <c r="AY200" s="65"/>
      <c r="AZ200" s="56"/>
      <c r="BA200" s="55"/>
      <c r="BB200" s="55"/>
      <c r="BC200" s="55"/>
      <c r="BD200" s="55"/>
      <c r="BE200" s="55"/>
      <c r="BF200" s="55"/>
      <c r="BG200" s="45"/>
      <c r="BH200" s="65"/>
      <c r="BI200" s="55"/>
      <c r="BJ200" s="55"/>
      <c r="BK200" s="55"/>
      <c r="BL200" s="55"/>
      <c r="BM200" s="55"/>
      <c r="BN200" s="55"/>
      <c r="BO200" s="55"/>
      <c r="BP200" s="55"/>
      <c r="BQ200" s="65"/>
      <c r="BR200" s="55"/>
      <c r="BS200" s="55"/>
      <c r="BT200" s="55"/>
      <c r="BU200" s="55"/>
      <c r="BV200" s="55"/>
      <c r="BW200" s="55"/>
      <c r="BX200" s="55"/>
      <c r="BY200" s="55"/>
      <c r="BZ200" s="65"/>
      <c r="CA200" s="55"/>
      <c r="CB200" s="55"/>
      <c r="CC200" s="55"/>
      <c r="CD200" s="55"/>
      <c r="CE200" s="55"/>
      <c r="CF200" s="55"/>
      <c r="CG200" s="55"/>
      <c r="CH200" s="55"/>
      <c r="CI200" s="55"/>
    </row>
    <row r="201" spans="1:87">
      <c r="A201" s="12" t="str">
        <f>Roster!A201</f>
        <v/>
      </c>
      <c r="B201" s="28">
        <f>Roster!C201</f>
        <v>0</v>
      </c>
      <c r="C201" s="28" t="str">
        <f>IF(COUNTIFS(Table36103[[#This Row],[Continue Existing]:[Start New]], "TRUE")=0, "YES", "NO")</f>
        <v>YES</v>
      </c>
      <c r="D201" s="28" t="b">
        <f>COUNTIFS(Table36103[[#This Row],[Screening Results: Drug &amp; Alcohol Assessment 1]:[Other Reason 9]], "Continue with existing treatment services")&gt;0</f>
        <v>0</v>
      </c>
      <c r="E201" s="28" t="b">
        <f>COUNTIFS(Table36103[[#This Row],[Screening Results: Drug &amp; Alcohol Assessment 1]:[Other Reason 9]], "Start new service")&gt;0</f>
        <v>0</v>
      </c>
      <c r="F201" s="55"/>
      <c r="G201" s="56"/>
      <c r="H201" s="57"/>
      <c r="I201" s="57"/>
      <c r="J201" s="57"/>
      <c r="K201" s="57"/>
      <c r="L201" s="57"/>
      <c r="M201" s="57"/>
      <c r="N201" s="45"/>
      <c r="O201" s="58"/>
      <c r="P201" s="56"/>
      <c r="Q201" s="57"/>
      <c r="R201" s="57"/>
      <c r="S201" s="57"/>
      <c r="T201" s="57"/>
      <c r="U201" s="57"/>
      <c r="V201" s="57"/>
      <c r="W201" s="45"/>
      <c r="X201" s="65"/>
      <c r="Y201" s="56"/>
      <c r="Z201" s="57"/>
      <c r="AA201" s="57"/>
      <c r="AB201" s="57"/>
      <c r="AC201" s="57"/>
      <c r="AD201" s="57"/>
      <c r="AE201" s="57"/>
      <c r="AF201" s="45"/>
      <c r="AG201" s="65"/>
      <c r="AH201" s="56"/>
      <c r="AI201" s="57"/>
      <c r="AJ201" s="57"/>
      <c r="AK201" s="57"/>
      <c r="AL201" s="57"/>
      <c r="AM201" s="57"/>
      <c r="AN201" s="57"/>
      <c r="AO201" s="45"/>
      <c r="AP201" s="65"/>
      <c r="AQ201" s="56"/>
      <c r="AR201" s="57"/>
      <c r="AS201" s="57"/>
      <c r="AT201" s="57"/>
      <c r="AU201" s="57"/>
      <c r="AV201" s="57"/>
      <c r="AW201" s="57"/>
      <c r="AX201" s="45"/>
      <c r="AY201" s="65"/>
      <c r="AZ201" s="56"/>
      <c r="BA201" s="55"/>
      <c r="BB201" s="55"/>
      <c r="BC201" s="55"/>
      <c r="BD201" s="55"/>
      <c r="BE201" s="55"/>
      <c r="BF201" s="55"/>
      <c r="BG201" s="45"/>
      <c r="BH201" s="65"/>
      <c r="BI201" s="55"/>
      <c r="BJ201" s="55"/>
      <c r="BK201" s="55"/>
      <c r="BL201" s="55"/>
      <c r="BM201" s="55"/>
      <c r="BN201" s="55"/>
      <c r="BO201" s="55"/>
      <c r="BP201" s="55"/>
      <c r="BQ201" s="65"/>
      <c r="BR201" s="55"/>
      <c r="BS201" s="55"/>
      <c r="BT201" s="55"/>
      <c r="BU201" s="55"/>
      <c r="BV201" s="55"/>
      <c r="BW201" s="55"/>
      <c r="BX201" s="55"/>
      <c r="BY201" s="55"/>
      <c r="BZ201" s="65"/>
      <c r="CA201" s="55"/>
      <c r="CB201" s="55"/>
      <c r="CC201" s="55"/>
      <c r="CD201" s="55"/>
      <c r="CE201" s="55"/>
      <c r="CF201" s="55"/>
      <c r="CG201" s="55"/>
      <c r="CH201" s="55"/>
      <c r="CI201" s="55"/>
    </row>
    <row r="202" spans="1:87">
      <c r="A202" s="12" t="str">
        <f>Roster!A202</f>
        <v/>
      </c>
      <c r="B202" s="28">
        <f>Roster!C202</f>
        <v>0</v>
      </c>
      <c r="C202" s="28" t="str">
        <f>IF(COUNTIFS(Table36103[[#This Row],[Continue Existing]:[Start New]], "TRUE")=0, "YES", "NO")</f>
        <v>YES</v>
      </c>
      <c r="D202" s="28" t="b">
        <f>COUNTIFS(Table36103[[#This Row],[Screening Results: Drug &amp; Alcohol Assessment 1]:[Other Reason 9]], "Continue with existing treatment services")&gt;0</f>
        <v>0</v>
      </c>
      <c r="E202" s="28" t="b">
        <f>COUNTIFS(Table36103[[#This Row],[Screening Results: Drug &amp; Alcohol Assessment 1]:[Other Reason 9]], "Start new service")&gt;0</f>
        <v>0</v>
      </c>
      <c r="F202" s="55"/>
      <c r="G202" s="56"/>
      <c r="H202" s="57"/>
      <c r="I202" s="57"/>
      <c r="J202" s="57"/>
      <c r="K202" s="57"/>
      <c r="L202" s="57"/>
      <c r="M202" s="57"/>
      <c r="N202" s="45"/>
      <c r="O202" s="58"/>
      <c r="P202" s="56"/>
      <c r="Q202" s="57"/>
      <c r="R202" s="57"/>
      <c r="S202" s="57"/>
      <c r="T202" s="57"/>
      <c r="U202" s="57"/>
      <c r="V202" s="57"/>
      <c r="W202" s="45"/>
      <c r="X202" s="71"/>
      <c r="Y202" s="57"/>
      <c r="Z202" s="57"/>
      <c r="AA202" s="57"/>
      <c r="AB202" s="57"/>
      <c r="AC202" s="57"/>
      <c r="AD202" s="57"/>
      <c r="AE202" s="57"/>
      <c r="AF202" s="57"/>
      <c r="AG202" s="71"/>
      <c r="AH202" s="57"/>
      <c r="AI202" s="57"/>
      <c r="AJ202" s="57"/>
      <c r="AK202" s="57"/>
      <c r="AL202" s="57"/>
      <c r="AM202" s="57"/>
      <c r="AN202" s="57"/>
      <c r="AO202" s="57"/>
      <c r="AP202" s="71"/>
      <c r="AQ202" s="57"/>
      <c r="AR202" s="57"/>
      <c r="AS202" s="57"/>
      <c r="AT202" s="57"/>
      <c r="AU202" s="57"/>
      <c r="AV202" s="57"/>
      <c r="AW202" s="57"/>
      <c r="AX202" s="57"/>
      <c r="AY202" s="71"/>
      <c r="AZ202" s="57"/>
      <c r="BA202" s="55"/>
      <c r="BB202" s="55"/>
      <c r="BC202" s="55"/>
      <c r="BD202" s="55"/>
      <c r="BE202" s="55"/>
      <c r="BF202" s="55"/>
      <c r="BG202" s="57"/>
      <c r="BH202" s="65"/>
      <c r="BI202" s="55"/>
      <c r="BJ202" s="55"/>
      <c r="BK202" s="55"/>
      <c r="BL202" s="55"/>
      <c r="BM202" s="55"/>
      <c r="BN202" s="55"/>
      <c r="BO202" s="55"/>
      <c r="BP202" s="55"/>
      <c r="BQ202" s="65"/>
      <c r="BR202" s="55"/>
      <c r="BS202" s="55"/>
      <c r="BT202" s="55"/>
      <c r="BU202" s="55"/>
      <c r="BV202" s="55"/>
      <c r="BW202" s="55"/>
      <c r="BX202" s="55"/>
      <c r="BY202" s="55"/>
      <c r="BZ202" s="65"/>
      <c r="CA202" s="55"/>
      <c r="CB202" s="55"/>
      <c r="CC202" s="55"/>
      <c r="CD202" s="55"/>
      <c r="CE202" s="55"/>
      <c r="CF202" s="55"/>
      <c r="CG202" s="55"/>
      <c r="CH202" s="55"/>
      <c r="CI202" s="55"/>
    </row>
    <row r="203" spans="1:87">
      <c r="A203" s="12" t="str">
        <f>Roster!A203</f>
        <v/>
      </c>
      <c r="B203" s="28">
        <f>Roster!C203</f>
        <v>0</v>
      </c>
      <c r="C203" s="28" t="str">
        <f>IF(COUNTIFS(Table36103[[#This Row],[Continue Existing]:[Start New]], "TRUE")=0, "YES", "NO")</f>
        <v>YES</v>
      </c>
      <c r="D203" s="28" t="b">
        <f>COUNTIFS(Table36103[[#This Row],[Screening Results: Drug &amp; Alcohol Assessment 1]:[Other Reason 9]], "Continue with existing treatment services")&gt;0</f>
        <v>0</v>
      </c>
      <c r="E203" s="28" t="b">
        <f>COUNTIFS(Table36103[[#This Row],[Screening Results: Drug &amp; Alcohol Assessment 1]:[Other Reason 9]], "Start new service")&gt;0</f>
        <v>0</v>
      </c>
      <c r="F203" s="55"/>
      <c r="G203" s="56"/>
      <c r="H203" s="57"/>
      <c r="I203" s="57"/>
      <c r="J203" s="57"/>
      <c r="K203" s="57"/>
      <c r="L203" s="57"/>
      <c r="M203" s="57"/>
      <c r="N203" s="45"/>
      <c r="O203" s="58"/>
      <c r="P203" s="56"/>
      <c r="Q203" s="57"/>
      <c r="R203" s="57"/>
      <c r="S203" s="57"/>
      <c r="T203" s="57"/>
      <c r="U203" s="57"/>
      <c r="V203" s="57"/>
      <c r="W203" s="45"/>
      <c r="X203" s="71"/>
      <c r="Y203" s="57"/>
      <c r="Z203" s="57"/>
      <c r="AA203" s="57"/>
      <c r="AB203" s="57"/>
      <c r="AC203" s="57"/>
      <c r="AD203" s="57"/>
      <c r="AE203" s="57"/>
      <c r="AF203" s="57"/>
      <c r="AG203" s="71"/>
      <c r="AH203" s="57"/>
      <c r="AI203" s="57"/>
      <c r="AJ203" s="57"/>
      <c r="AK203" s="57"/>
      <c r="AL203" s="57"/>
      <c r="AM203" s="57"/>
      <c r="AN203" s="57"/>
      <c r="AO203" s="57"/>
      <c r="AP203" s="71"/>
      <c r="AQ203" s="57"/>
      <c r="AR203" s="57"/>
      <c r="AS203" s="57"/>
      <c r="AT203" s="57"/>
      <c r="AU203" s="57"/>
      <c r="AV203" s="57"/>
      <c r="AW203" s="57"/>
      <c r="AX203" s="57"/>
      <c r="AY203" s="71"/>
      <c r="AZ203" s="57"/>
      <c r="BA203" s="55"/>
      <c r="BB203" s="55"/>
      <c r="BC203" s="55"/>
      <c r="BD203" s="55"/>
      <c r="BE203" s="55"/>
      <c r="BF203" s="55"/>
      <c r="BG203" s="57"/>
      <c r="BH203" s="65"/>
      <c r="BI203" s="55"/>
      <c r="BJ203" s="55"/>
      <c r="BK203" s="55"/>
      <c r="BL203" s="55"/>
      <c r="BM203" s="55"/>
      <c r="BN203" s="55"/>
      <c r="BO203" s="55"/>
      <c r="BP203" s="55"/>
      <c r="BQ203" s="65"/>
      <c r="BR203" s="55"/>
      <c r="BS203" s="55"/>
      <c r="BT203" s="55"/>
      <c r="BU203" s="55"/>
      <c r="BV203" s="55"/>
      <c r="BW203" s="55"/>
      <c r="BX203" s="55"/>
      <c r="BY203" s="55"/>
      <c r="BZ203" s="65"/>
      <c r="CA203" s="55"/>
      <c r="CB203" s="55"/>
      <c r="CC203" s="55"/>
      <c r="CD203" s="55"/>
      <c r="CE203" s="55"/>
      <c r="CF203" s="55"/>
      <c r="CG203" s="55"/>
      <c r="CH203" s="55"/>
      <c r="CI203" s="55"/>
    </row>
    <row r="204" spans="1:87">
      <c r="A204" s="12" t="str">
        <f>Roster!A204</f>
        <v/>
      </c>
      <c r="B204" s="28">
        <f>Roster!C204</f>
        <v>0</v>
      </c>
      <c r="C204" s="28" t="str">
        <f>IF(COUNTIFS(Table36103[[#This Row],[Continue Existing]:[Start New]], "TRUE")=0, "YES", "NO")</f>
        <v>YES</v>
      </c>
      <c r="D204" s="28" t="b">
        <f>COUNTIFS(Table36103[[#This Row],[Screening Results: Drug &amp; Alcohol Assessment 1]:[Other Reason 9]], "Continue with existing treatment services")&gt;0</f>
        <v>0</v>
      </c>
      <c r="E204" s="28" t="b">
        <f>COUNTIFS(Table36103[[#This Row],[Screening Results: Drug &amp; Alcohol Assessment 1]:[Other Reason 9]], "Start new service")&gt;0</f>
        <v>0</v>
      </c>
      <c r="F204" s="55"/>
      <c r="G204" s="56"/>
      <c r="H204" s="57"/>
      <c r="I204" s="57"/>
      <c r="J204" s="57"/>
      <c r="K204" s="57"/>
      <c r="L204" s="57"/>
      <c r="M204" s="57"/>
      <c r="N204" s="45"/>
      <c r="O204" s="58"/>
      <c r="P204" s="56"/>
      <c r="Q204" s="57"/>
      <c r="R204" s="57"/>
      <c r="S204" s="57"/>
      <c r="T204" s="57"/>
      <c r="U204" s="57"/>
      <c r="V204" s="57"/>
      <c r="W204" s="45"/>
      <c r="X204" s="71"/>
      <c r="Y204" s="57"/>
      <c r="Z204" s="57"/>
      <c r="AA204" s="57"/>
      <c r="AB204" s="57"/>
      <c r="AC204" s="57"/>
      <c r="AD204" s="57"/>
      <c r="AE204" s="57"/>
      <c r="AF204" s="57"/>
      <c r="AG204" s="71"/>
      <c r="AH204" s="57"/>
      <c r="AI204" s="57"/>
      <c r="AJ204" s="57"/>
      <c r="AK204" s="57"/>
      <c r="AL204" s="57"/>
      <c r="AM204" s="57"/>
      <c r="AN204" s="57"/>
      <c r="AO204" s="57"/>
      <c r="AP204" s="71"/>
      <c r="AQ204" s="57"/>
      <c r="AR204" s="57"/>
      <c r="AS204" s="57"/>
      <c r="AT204" s="57"/>
      <c r="AU204" s="57"/>
      <c r="AV204" s="57"/>
      <c r="AW204" s="57"/>
      <c r="AX204" s="57"/>
      <c r="AY204" s="71"/>
      <c r="AZ204" s="57"/>
      <c r="BA204" s="55"/>
      <c r="BB204" s="55"/>
      <c r="BC204" s="55"/>
      <c r="BD204" s="55"/>
      <c r="BE204" s="55"/>
      <c r="BF204" s="55"/>
      <c r="BG204" s="57"/>
      <c r="BH204" s="65"/>
      <c r="BI204" s="55"/>
      <c r="BJ204" s="55"/>
      <c r="BK204" s="55"/>
      <c r="BL204" s="55"/>
      <c r="BM204" s="55"/>
      <c r="BN204" s="55"/>
      <c r="BO204" s="55"/>
      <c r="BP204" s="55"/>
      <c r="BQ204" s="65"/>
      <c r="BR204" s="55"/>
      <c r="BS204" s="55"/>
      <c r="BT204" s="55"/>
      <c r="BU204" s="55"/>
      <c r="BV204" s="55"/>
      <c r="BW204" s="55"/>
      <c r="BX204" s="55"/>
      <c r="BY204" s="55"/>
      <c r="BZ204" s="65"/>
      <c r="CA204" s="55"/>
      <c r="CB204" s="55"/>
      <c r="CC204" s="55"/>
      <c r="CD204" s="55"/>
      <c r="CE204" s="55"/>
      <c r="CF204" s="55"/>
      <c r="CG204" s="55"/>
      <c r="CH204" s="55"/>
      <c r="CI204" s="55"/>
    </row>
    <row r="205" spans="1:87">
      <c r="A205" s="12" t="str">
        <f>Roster!A205</f>
        <v/>
      </c>
      <c r="B205" s="28">
        <f>Roster!C205</f>
        <v>0</v>
      </c>
      <c r="C205" s="28" t="str">
        <f>IF(COUNTIFS(Table36103[[#This Row],[Continue Existing]:[Start New]], "TRUE")=0, "YES", "NO")</f>
        <v>YES</v>
      </c>
      <c r="D205" s="28" t="b">
        <f>COUNTIFS(Table36103[[#This Row],[Screening Results: Drug &amp; Alcohol Assessment 1]:[Other Reason 9]], "Continue with existing treatment services")&gt;0</f>
        <v>0</v>
      </c>
      <c r="E205" s="28" t="b">
        <f>COUNTIFS(Table36103[[#This Row],[Screening Results: Drug &amp; Alcohol Assessment 1]:[Other Reason 9]], "Start new service")&gt;0</f>
        <v>0</v>
      </c>
      <c r="F205" s="55"/>
      <c r="G205" s="56"/>
      <c r="H205" s="57"/>
      <c r="I205" s="57"/>
      <c r="J205" s="57"/>
      <c r="K205" s="57"/>
      <c r="L205" s="57"/>
      <c r="M205" s="57"/>
      <c r="N205" s="45"/>
      <c r="O205" s="58"/>
      <c r="P205" s="56"/>
      <c r="Q205" s="57"/>
      <c r="R205" s="57"/>
      <c r="S205" s="57"/>
      <c r="T205" s="57"/>
      <c r="U205" s="57"/>
      <c r="V205" s="57"/>
      <c r="W205" s="45"/>
      <c r="X205" s="71"/>
      <c r="Y205" s="57"/>
      <c r="Z205" s="57"/>
      <c r="AA205" s="57"/>
      <c r="AB205" s="57"/>
      <c r="AC205" s="57"/>
      <c r="AD205" s="57"/>
      <c r="AE205" s="57"/>
      <c r="AF205" s="57"/>
      <c r="AG205" s="71"/>
      <c r="AH205" s="57"/>
      <c r="AI205" s="57"/>
      <c r="AJ205" s="57"/>
      <c r="AK205" s="57"/>
      <c r="AL205" s="57"/>
      <c r="AM205" s="57"/>
      <c r="AN205" s="57"/>
      <c r="AO205" s="57"/>
      <c r="AP205" s="71"/>
      <c r="AQ205" s="57"/>
      <c r="AR205" s="57"/>
      <c r="AS205" s="57"/>
      <c r="AT205" s="57"/>
      <c r="AU205" s="57"/>
      <c r="AV205" s="57"/>
      <c r="AW205" s="57"/>
      <c r="AX205" s="57"/>
      <c r="AY205" s="71"/>
      <c r="AZ205" s="57"/>
      <c r="BA205" s="55"/>
      <c r="BB205" s="55"/>
      <c r="BC205" s="55"/>
      <c r="BD205" s="55"/>
      <c r="BE205" s="55"/>
      <c r="BF205" s="55"/>
      <c r="BG205" s="57"/>
      <c r="BH205" s="65"/>
      <c r="BI205" s="55"/>
      <c r="BJ205" s="55"/>
      <c r="BK205" s="55"/>
      <c r="BL205" s="55"/>
      <c r="BM205" s="55"/>
      <c r="BN205" s="55"/>
      <c r="BO205" s="55"/>
      <c r="BP205" s="55"/>
      <c r="BQ205" s="65"/>
      <c r="BR205" s="55"/>
      <c r="BS205" s="55"/>
      <c r="BT205" s="55"/>
      <c r="BU205" s="55"/>
      <c r="BV205" s="55"/>
      <c r="BW205" s="55"/>
      <c r="BX205" s="55"/>
      <c r="BY205" s="55"/>
      <c r="BZ205" s="65"/>
      <c r="CA205" s="55"/>
      <c r="CB205" s="55"/>
      <c r="CC205" s="55"/>
      <c r="CD205" s="55"/>
      <c r="CE205" s="55"/>
      <c r="CF205" s="55"/>
      <c r="CG205" s="55"/>
      <c r="CH205" s="55"/>
      <c r="CI205" s="55"/>
    </row>
    <row r="206" spans="1:87">
      <c r="A206" s="12" t="str">
        <f>Roster!A206</f>
        <v/>
      </c>
      <c r="B206" s="28">
        <f>Roster!C206</f>
        <v>0</v>
      </c>
      <c r="C206" s="28" t="str">
        <f>IF(COUNTIFS(Table36103[[#This Row],[Continue Existing]:[Start New]], "TRUE")=0, "YES", "NO")</f>
        <v>YES</v>
      </c>
      <c r="D206" s="28" t="b">
        <f>COUNTIFS(Table36103[[#This Row],[Screening Results: Drug &amp; Alcohol Assessment 1]:[Other Reason 9]], "Continue with existing treatment services")&gt;0</f>
        <v>0</v>
      </c>
      <c r="E206" s="28" t="b">
        <f>COUNTIFS(Table36103[[#This Row],[Screening Results: Drug &amp; Alcohol Assessment 1]:[Other Reason 9]], "Start new service")&gt;0</f>
        <v>0</v>
      </c>
      <c r="F206" s="55"/>
      <c r="G206" s="56"/>
      <c r="H206" s="57"/>
      <c r="I206" s="57"/>
      <c r="J206" s="57"/>
      <c r="K206" s="57"/>
      <c r="L206" s="57"/>
      <c r="M206" s="57"/>
      <c r="N206" s="45"/>
      <c r="O206" s="58"/>
      <c r="P206" s="56"/>
      <c r="Q206" s="57"/>
      <c r="R206" s="57"/>
      <c r="S206" s="57"/>
      <c r="T206" s="57"/>
      <c r="U206" s="57"/>
      <c r="V206" s="57"/>
      <c r="W206" s="45"/>
      <c r="X206" s="71"/>
      <c r="Y206" s="57"/>
      <c r="Z206" s="57"/>
      <c r="AA206" s="57"/>
      <c r="AB206" s="57"/>
      <c r="AC206" s="57"/>
      <c r="AD206" s="57"/>
      <c r="AE206" s="57"/>
      <c r="AF206" s="57"/>
      <c r="AG206" s="71"/>
      <c r="AH206" s="57"/>
      <c r="AI206" s="57"/>
      <c r="AJ206" s="57"/>
      <c r="AK206" s="57"/>
      <c r="AL206" s="57"/>
      <c r="AM206" s="57"/>
      <c r="AN206" s="57"/>
      <c r="AO206" s="57"/>
      <c r="AP206" s="71"/>
      <c r="AQ206" s="57"/>
      <c r="AR206" s="57"/>
      <c r="AS206" s="57"/>
      <c r="AT206" s="57"/>
      <c r="AU206" s="57"/>
      <c r="AV206" s="57"/>
      <c r="AW206" s="57"/>
      <c r="AX206" s="57"/>
      <c r="AY206" s="71"/>
      <c r="AZ206" s="57"/>
      <c r="BA206" s="55"/>
      <c r="BB206" s="55"/>
      <c r="BC206" s="55"/>
      <c r="BD206" s="55"/>
      <c r="BE206" s="55"/>
      <c r="BF206" s="55"/>
      <c r="BG206" s="57"/>
      <c r="BH206" s="65"/>
      <c r="BI206" s="55"/>
      <c r="BJ206" s="55"/>
      <c r="BK206" s="55"/>
      <c r="BL206" s="55"/>
      <c r="BM206" s="55"/>
      <c r="BN206" s="55"/>
      <c r="BO206" s="55"/>
      <c r="BP206" s="55"/>
      <c r="BQ206" s="65"/>
      <c r="BR206" s="55"/>
      <c r="BS206" s="55"/>
      <c r="BT206" s="55"/>
      <c r="BU206" s="55"/>
      <c r="BV206" s="55"/>
      <c r="BW206" s="55"/>
      <c r="BX206" s="55"/>
      <c r="BY206" s="55"/>
      <c r="BZ206" s="65"/>
      <c r="CA206" s="55"/>
      <c r="CB206" s="55"/>
      <c r="CC206" s="55"/>
      <c r="CD206" s="55"/>
      <c r="CE206" s="55"/>
      <c r="CF206" s="55"/>
      <c r="CG206" s="55"/>
      <c r="CH206" s="55"/>
      <c r="CI206" s="55"/>
    </row>
    <row r="207" spans="1:87">
      <c r="A207" s="12" t="str">
        <f>Roster!A207</f>
        <v/>
      </c>
      <c r="B207" s="28">
        <f>Roster!C207</f>
        <v>0</v>
      </c>
      <c r="C207" s="28" t="str">
        <f>IF(COUNTIFS(Table36103[[#This Row],[Continue Existing]:[Start New]], "TRUE")=0, "YES", "NO")</f>
        <v>YES</v>
      </c>
      <c r="D207" s="28" t="b">
        <f>COUNTIFS(Table36103[[#This Row],[Screening Results: Drug &amp; Alcohol Assessment 1]:[Other Reason 9]], "Continue with existing treatment services")&gt;0</f>
        <v>0</v>
      </c>
      <c r="E207" s="28" t="b">
        <f>COUNTIFS(Table36103[[#This Row],[Screening Results: Drug &amp; Alcohol Assessment 1]:[Other Reason 9]], "Start new service")&gt;0</f>
        <v>0</v>
      </c>
      <c r="F207" s="55"/>
      <c r="G207" s="56"/>
      <c r="H207" s="57"/>
      <c r="I207" s="57"/>
      <c r="J207" s="57"/>
      <c r="K207" s="57"/>
      <c r="L207" s="57"/>
      <c r="M207" s="57"/>
      <c r="N207" s="45"/>
      <c r="O207" s="58"/>
      <c r="P207" s="56"/>
      <c r="Q207" s="57"/>
      <c r="R207" s="57"/>
      <c r="S207" s="57"/>
      <c r="T207" s="57"/>
      <c r="U207" s="57"/>
      <c r="V207" s="57"/>
      <c r="W207" s="45"/>
      <c r="X207" s="71"/>
      <c r="Y207" s="57"/>
      <c r="Z207" s="57"/>
      <c r="AA207" s="57"/>
      <c r="AB207" s="57"/>
      <c r="AC207" s="57"/>
      <c r="AD207" s="57"/>
      <c r="AE207" s="57"/>
      <c r="AF207" s="57"/>
      <c r="AG207" s="71"/>
      <c r="AH207" s="57"/>
      <c r="AI207" s="57"/>
      <c r="AJ207" s="57"/>
      <c r="AK207" s="57"/>
      <c r="AL207" s="57"/>
      <c r="AM207" s="57"/>
      <c r="AN207" s="57"/>
      <c r="AO207" s="57"/>
      <c r="AP207" s="71"/>
      <c r="AQ207" s="57"/>
      <c r="AR207" s="57"/>
      <c r="AS207" s="57"/>
      <c r="AT207" s="57"/>
      <c r="AU207" s="57"/>
      <c r="AV207" s="57"/>
      <c r="AW207" s="57"/>
      <c r="AX207" s="57"/>
      <c r="AY207" s="71"/>
      <c r="AZ207" s="57"/>
      <c r="BA207" s="55"/>
      <c r="BB207" s="55"/>
      <c r="BC207" s="55"/>
      <c r="BD207" s="55"/>
      <c r="BE207" s="55"/>
      <c r="BF207" s="55"/>
      <c r="BG207" s="57"/>
      <c r="BH207" s="65"/>
      <c r="BI207" s="55"/>
      <c r="BJ207" s="55"/>
      <c r="BK207" s="55"/>
      <c r="BL207" s="55"/>
      <c r="BM207" s="55"/>
      <c r="BN207" s="55"/>
      <c r="BO207" s="55"/>
      <c r="BP207" s="55"/>
      <c r="BQ207" s="65"/>
      <c r="BR207" s="55"/>
      <c r="BS207" s="55"/>
      <c r="BT207" s="55"/>
      <c r="BU207" s="55"/>
      <c r="BV207" s="55"/>
      <c r="BW207" s="55"/>
      <c r="BX207" s="55"/>
      <c r="BY207" s="55"/>
      <c r="BZ207" s="65"/>
      <c r="CA207" s="55"/>
      <c r="CB207" s="55"/>
      <c r="CC207" s="55"/>
      <c r="CD207" s="55"/>
      <c r="CE207" s="55"/>
      <c r="CF207" s="55"/>
      <c r="CG207" s="55"/>
      <c r="CH207" s="55"/>
      <c r="CI207" s="55"/>
    </row>
    <row r="208" spans="1:87">
      <c r="A208" s="12" t="str">
        <f>Roster!A208</f>
        <v/>
      </c>
      <c r="B208" s="28">
        <f>Roster!C208</f>
        <v>0</v>
      </c>
      <c r="C208" s="28" t="str">
        <f>IF(COUNTIFS(Table36103[[#This Row],[Continue Existing]:[Start New]], "TRUE")=0, "YES", "NO")</f>
        <v>YES</v>
      </c>
      <c r="D208" s="28" t="b">
        <f>COUNTIFS(Table36103[[#This Row],[Screening Results: Drug &amp; Alcohol Assessment 1]:[Other Reason 9]], "Continue with existing treatment services")&gt;0</f>
        <v>0</v>
      </c>
      <c r="E208" s="28" t="b">
        <f>COUNTIFS(Table36103[[#This Row],[Screening Results: Drug &amp; Alcohol Assessment 1]:[Other Reason 9]], "Start new service")&gt;0</f>
        <v>0</v>
      </c>
      <c r="F208" s="55"/>
      <c r="G208" s="56"/>
      <c r="H208" s="57"/>
      <c r="I208" s="57"/>
      <c r="J208" s="57"/>
      <c r="K208" s="57"/>
      <c r="L208" s="57"/>
      <c r="M208" s="57"/>
      <c r="N208" s="45"/>
      <c r="O208" s="58"/>
      <c r="P208" s="56"/>
      <c r="Q208" s="57"/>
      <c r="R208" s="57"/>
      <c r="S208" s="57"/>
      <c r="T208" s="57"/>
      <c r="U208" s="57"/>
      <c r="V208" s="57"/>
      <c r="W208" s="45"/>
      <c r="X208" s="71"/>
      <c r="Y208" s="57"/>
      <c r="Z208" s="57"/>
      <c r="AA208" s="57"/>
      <c r="AB208" s="57"/>
      <c r="AC208" s="57"/>
      <c r="AD208" s="57"/>
      <c r="AE208" s="57"/>
      <c r="AF208" s="57"/>
      <c r="AG208" s="71"/>
      <c r="AH208" s="57"/>
      <c r="AI208" s="57"/>
      <c r="AJ208" s="57"/>
      <c r="AK208" s="57"/>
      <c r="AL208" s="57"/>
      <c r="AM208" s="57"/>
      <c r="AN208" s="57"/>
      <c r="AO208" s="57"/>
      <c r="AP208" s="71"/>
      <c r="AQ208" s="57"/>
      <c r="AR208" s="57"/>
      <c r="AS208" s="57"/>
      <c r="AT208" s="57"/>
      <c r="AU208" s="57"/>
      <c r="AV208" s="57"/>
      <c r="AW208" s="57"/>
      <c r="AX208" s="57"/>
      <c r="AY208" s="71"/>
      <c r="AZ208" s="57"/>
      <c r="BA208" s="55"/>
      <c r="BB208" s="55"/>
      <c r="BC208" s="55"/>
      <c r="BD208" s="55"/>
      <c r="BE208" s="55"/>
      <c r="BF208" s="55"/>
      <c r="BG208" s="57"/>
      <c r="BH208" s="65"/>
      <c r="BI208" s="55"/>
      <c r="BJ208" s="55"/>
      <c r="BK208" s="55"/>
      <c r="BL208" s="55"/>
      <c r="BM208" s="55"/>
      <c r="BN208" s="55"/>
      <c r="BO208" s="55"/>
      <c r="BP208" s="55"/>
      <c r="BQ208" s="65"/>
      <c r="BR208" s="55"/>
      <c r="BS208" s="55"/>
      <c r="BT208" s="55"/>
      <c r="BU208" s="55"/>
      <c r="BV208" s="55"/>
      <c r="BW208" s="55"/>
      <c r="BX208" s="55"/>
      <c r="BY208" s="55"/>
      <c r="BZ208" s="65"/>
      <c r="CA208" s="55"/>
      <c r="CB208" s="55"/>
      <c r="CC208" s="55"/>
      <c r="CD208" s="55"/>
      <c r="CE208" s="55"/>
      <c r="CF208" s="55"/>
      <c r="CG208" s="55"/>
      <c r="CH208" s="55"/>
      <c r="CI208" s="55"/>
    </row>
    <row r="209" spans="1:87">
      <c r="A209" s="12" t="str">
        <f>Roster!A209</f>
        <v/>
      </c>
      <c r="B209" s="28">
        <f>Roster!C209</f>
        <v>0</v>
      </c>
      <c r="C209" s="28" t="str">
        <f>IF(COUNTIFS(Table36103[[#This Row],[Continue Existing]:[Start New]], "TRUE")=0, "YES", "NO")</f>
        <v>YES</v>
      </c>
      <c r="D209" s="28" t="b">
        <f>COUNTIFS(Table36103[[#This Row],[Screening Results: Drug &amp; Alcohol Assessment 1]:[Other Reason 9]], "Continue with existing treatment services")&gt;0</f>
        <v>0</v>
      </c>
      <c r="E209" s="28" t="b">
        <f>COUNTIFS(Table36103[[#This Row],[Screening Results: Drug &amp; Alcohol Assessment 1]:[Other Reason 9]], "Start new service")&gt;0</f>
        <v>0</v>
      </c>
      <c r="F209" s="55"/>
      <c r="G209" s="56"/>
      <c r="H209" s="57"/>
      <c r="I209" s="57"/>
      <c r="J209" s="57"/>
      <c r="K209" s="57"/>
      <c r="L209" s="57"/>
      <c r="M209" s="57"/>
      <c r="N209" s="45"/>
      <c r="O209" s="58"/>
      <c r="P209" s="56"/>
      <c r="Q209" s="57"/>
      <c r="R209" s="57"/>
      <c r="S209" s="57"/>
      <c r="T209" s="57"/>
      <c r="U209" s="57"/>
      <c r="V209" s="57"/>
      <c r="W209" s="45"/>
      <c r="X209" s="71"/>
      <c r="Y209" s="57"/>
      <c r="Z209" s="57"/>
      <c r="AA209" s="57"/>
      <c r="AB209" s="57"/>
      <c r="AC209" s="57"/>
      <c r="AD209" s="57"/>
      <c r="AE209" s="57"/>
      <c r="AF209" s="57"/>
      <c r="AG209" s="71"/>
      <c r="AH209" s="57"/>
      <c r="AI209" s="57"/>
      <c r="AJ209" s="57"/>
      <c r="AK209" s="57"/>
      <c r="AL209" s="57"/>
      <c r="AM209" s="57"/>
      <c r="AN209" s="57"/>
      <c r="AO209" s="57"/>
      <c r="AP209" s="71"/>
      <c r="AQ209" s="57"/>
      <c r="AR209" s="57"/>
      <c r="AS209" s="57"/>
      <c r="AT209" s="57"/>
      <c r="AU209" s="57"/>
      <c r="AV209" s="57"/>
      <c r="AW209" s="57"/>
      <c r="AX209" s="57"/>
      <c r="AY209" s="71"/>
      <c r="AZ209" s="57"/>
      <c r="BA209" s="55"/>
      <c r="BB209" s="55"/>
      <c r="BC209" s="55"/>
      <c r="BD209" s="55"/>
      <c r="BE209" s="55"/>
      <c r="BF209" s="55"/>
      <c r="BG209" s="57"/>
      <c r="BH209" s="65"/>
      <c r="BI209" s="55"/>
      <c r="BJ209" s="55"/>
      <c r="BK209" s="55"/>
      <c r="BL209" s="55"/>
      <c r="BM209" s="55"/>
      <c r="BN209" s="55"/>
      <c r="BO209" s="55"/>
      <c r="BP209" s="55"/>
      <c r="BQ209" s="65"/>
      <c r="BR209" s="55"/>
      <c r="BS209" s="55"/>
      <c r="BT209" s="55"/>
      <c r="BU209" s="55"/>
      <c r="BV209" s="55"/>
      <c r="BW209" s="55"/>
      <c r="BX209" s="55"/>
      <c r="BY209" s="55"/>
      <c r="BZ209" s="65"/>
      <c r="CA209" s="55"/>
      <c r="CB209" s="55"/>
      <c r="CC209" s="55"/>
      <c r="CD209" s="55"/>
      <c r="CE209" s="55"/>
      <c r="CF209" s="55"/>
      <c r="CG209" s="55"/>
      <c r="CH209" s="55"/>
      <c r="CI209" s="55"/>
    </row>
    <row r="210" spans="1:87">
      <c r="A210" s="12" t="str">
        <f>Roster!A210</f>
        <v/>
      </c>
      <c r="B210" s="28">
        <f>Roster!C210</f>
        <v>0</v>
      </c>
      <c r="C210" s="28" t="str">
        <f>IF(COUNTIFS(Table36103[[#This Row],[Continue Existing]:[Start New]], "TRUE")=0, "YES", "NO")</f>
        <v>YES</v>
      </c>
      <c r="D210" s="28" t="b">
        <f>COUNTIFS(Table36103[[#This Row],[Screening Results: Drug &amp; Alcohol Assessment 1]:[Other Reason 9]], "Continue with existing treatment services")&gt;0</f>
        <v>0</v>
      </c>
      <c r="E210" s="28" t="b">
        <f>COUNTIFS(Table36103[[#This Row],[Screening Results: Drug &amp; Alcohol Assessment 1]:[Other Reason 9]], "Start new service")&gt;0</f>
        <v>0</v>
      </c>
      <c r="F210" s="55"/>
      <c r="G210" s="56"/>
      <c r="H210" s="57"/>
      <c r="I210" s="57"/>
      <c r="J210" s="57"/>
      <c r="K210" s="57"/>
      <c r="L210" s="57"/>
      <c r="M210" s="57"/>
      <c r="N210" s="45"/>
      <c r="O210" s="58"/>
      <c r="P210" s="56"/>
      <c r="Q210" s="57"/>
      <c r="R210" s="57"/>
      <c r="S210" s="57"/>
      <c r="T210" s="57"/>
      <c r="U210" s="57"/>
      <c r="V210" s="57"/>
      <c r="W210" s="45"/>
      <c r="X210" s="71"/>
      <c r="Y210" s="57"/>
      <c r="Z210" s="57"/>
      <c r="AA210" s="57"/>
      <c r="AB210" s="57"/>
      <c r="AC210" s="57"/>
      <c r="AD210" s="57"/>
      <c r="AE210" s="57"/>
      <c r="AF210" s="57"/>
      <c r="AG210" s="71"/>
      <c r="AH210" s="57"/>
      <c r="AI210" s="57"/>
      <c r="AJ210" s="57"/>
      <c r="AK210" s="57"/>
      <c r="AL210" s="57"/>
      <c r="AM210" s="57"/>
      <c r="AN210" s="57"/>
      <c r="AO210" s="57"/>
      <c r="AP210" s="71"/>
      <c r="AQ210" s="57"/>
      <c r="AR210" s="57"/>
      <c r="AS210" s="57"/>
      <c r="AT210" s="57"/>
      <c r="AU210" s="57"/>
      <c r="AV210" s="57"/>
      <c r="AW210" s="57"/>
      <c r="AX210" s="57"/>
      <c r="AY210" s="71"/>
      <c r="AZ210" s="57"/>
      <c r="BA210" s="55"/>
      <c r="BB210" s="55"/>
      <c r="BC210" s="55"/>
      <c r="BD210" s="55"/>
      <c r="BE210" s="55"/>
      <c r="BF210" s="55"/>
      <c r="BG210" s="57"/>
      <c r="BH210" s="65"/>
      <c r="BI210" s="55"/>
      <c r="BJ210" s="55"/>
      <c r="BK210" s="55"/>
      <c r="BL210" s="55"/>
      <c r="BM210" s="55"/>
      <c r="BN210" s="55"/>
      <c r="BO210" s="55"/>
      <c r="BP210" s="55"/>
      <c r="BQ210" s="65"/>
      <c r="BR210" s="55"/>
      <c r="BS210" s="55"/>
      <c r="BT210" s="55"/>
      <c r="BU210" s="55"/>
      <c r="BV210" s="55"/>
      <c r="BW210" s="55"/>
      <c r="BX210" s="55"/>
      <c r="BY210" s="55"/>
      <c r="BZ210" s="65"/>
      <c r="CA210" s="55"/>
      <c r="CB210" s="55"/>
      <c r="CC210" s="55"/>
      <c r="CD210" s="55"/>
      <c r="CE210" s="55"/>
      <c r="CF210" s="55"/>
      <c r="CG210" s="55"/>
      <c r="CH210" s="55"/>
      <c r="CI210" s="55"/>
    </row>
    <row r="211" spans="1:87">
      <c r="A211" s="12" t="str">
        <f>Roster!A211</f>
        <v/>
      </c>
      <c r="B211" s="28">
        <f>Roster!C211</f>
        <v>0</v>
      </c>
      <c r="C211" s="28" t="str">
        <f>IF(COUNTIFS(Table36103[[#This Row],[Continue Existing]:[Start New]], "TRUE")=0, "YES", "NO")</f>
        <v>YES</v>
      </c>
      <c r="D211" s="28" t="b">
        <f>COUNTIFS(Table36103[[#This Row],[Screening Results: Drug &amp; Alcohol Assessment 1]:[Other Reason 9]], "Continue with existing treatment services")&gt;0</f>
        <v>0</v>
      </c>
      <c r="E211" s="28" t="b">
        <f>COUNTIFS(Table36103[[#This Row],[Screening Results: Drug &amp; Alcohol Assessment 1]:[Other Reason 9]], "Start new service")&gt;0</f>
        <v>0</v>
      </c>
      <c r="F211" s="55"/>
      <c r="G211" s="56"/>
      <c r="H211" s="57"/>
      <c r="I211" s="57"/>
      <c r="J211" s="57"/>
      <c r="K211" s="57"/>
      <c r="L211" s="57"/>
      <c r="M211" s="57"/>
      <c r="N211" s="45"/>
      <c r="O211" s="58"/>
      <c r="P211" s="56"/>
      <c r="Q211" s="57"/>
      <c r="R211" s="57"/>
      <c r="S211" s="57"/>
      <c r="T211" s="57"/>
      <c r="U211" s="57"/>
      <c r="V211" s="57"/>
      <c r="W211" s="45"/>
      <c r="X211" s="71"/>
      <c r="Y211" s="57"/>
      <c r="Z211" s="57"/>
      <c r="AA211" s="57"/>
      <c r="AB211" s="57"/>
      <c r="AC211" s="57"/>
      <c r="AD211" s="57"/>
      <c r="AE211" s="57"/>
      <c r="AF211" s="57"/>
      <c r="AG211" s="71"/>
      <c r="AH211" s="57"/>
      <c r="AI211" s="57"/>
      <c r="AJ211" s="57"/>
      <c r="AK211" s="57"/>
      <c r="AL211" s="57"/>
      <c r="AM211" s="57"/>
      <c r="AN211" s="57"/>
      <c r="AO211" s="57"/>
      <c r="AP211" s="71"/>
      <c r="AQ211" s="57"/>
      <c r="AR211" s="57"/>
      <c r="AS211" s="57"/>
      <c r="AT211" s="57"/>
      <c r="AU211" s="57"/>
      <c r="AV211" s="57"/>
      <c r="AW211" s="57"/>
      <c r="AX211" s="57"/>
      <c r="AY211" s="71"/>
      <c r="AZ211" s="57"/>
      <c r="BA211" s="55"/>
      <c r="BB211" s="55"/>
      <c r="BC211" s="55"/>
      <c r="BD211" s="55"/>
      <c r="BE211" s="55"/>
      <c r="BF211" s="55"/>
      <c r="BG211" s="57"/>
      <c r="BH211" s="65"/>
      <c r="BI211" s="55"/>
      <c r="BJ211" s="55"/>
      <c r="BK211" s="55"/>
      <c r="BL211" s="55"/>
      <c r="BM211" s="55"/>
      <c r="BN211" s="55"/>
      <c r="BO211" s="55"/>
      <c r="BP211" s="55"/>
      <c r="BQ211" s="65"/>
      <c r="BR211" s="55"/>
      <c r="BS211" s="55"/>
      <c r="BT211" s="55"/>
      <c r="BU211" s="55"/>
      <c r="BV211" s="55"/>
      <c r="BW211" s="55"/>
      <c r="BX211" s="55"/>
      <c r="BY211" s="55"/>
      <c r="BZ211" s="65"/>
      <c r="CA211" s="55"/>
      <c r="CB211" s="55"/>
      <c r="CC211" s="55"/>
      <c r="CD211" s="55"/>
      <c r="CE211" s="55"/>
      <c r="CF211" s="55"/>
      <c r="CG211" s="55"/>
      <c r="CH211" s="55"/>
      <c r="CI211" s="55"/>
    </row>
    <row r="212" spans="1:87">
      <c r="A212" s="12" t="str">
        <f>Roster!A212</f>
        <v/>
      </c>
      <c r="B212" s="28">
        <f>Roster!C212</f>
        <v>0</v>
      </c>
      <c r="C212" s="28" t="str">
        <f>IF(COUNTIFS(Table36103[[#This Row],[Continue Existing]:[Start New]], "TRUE")=0, "YES", "NO")</f>
        <v>YES</v>
      </c>
      <c r="D212" s="28" t="b">
        <f>COUNTIFS(Table36103[[#This Row],[Screening Results: Drug &amp; Alcohol Assessment 1]:[Other Reason 9]], "Continue with existing treatment services")&gt;0</f>
        <v>0</v>
      </c>
      <c r="E212" s="28" t="b">
        <f>COUNTIFS(Table36103[[#This Row],[Screening Results: Drug &amp; Alcohol Assessment 1]:[Other Reason 9]], "Start new service")&gt;0</f>
        <v>0</v>
      </c>
      <c r="F212" s="55"/>
      <c r="G212" s="56"/>
      <c r="H212" s="57"/>
      <c r="I212" s="57"/>
      <c r="J212" s="57"/>
      <c r="K212" s="57"/>
      <c r="L212" s="57"/>
      <c r="M212" s="57"/>
      <c r="N212" s="45"/>
      <c r="O212" s="58"/>
      <c r="P212" s="56"/>
      <c r="Q212" s="57"/>
      <c r="R212" s="57"/>
      <c r="S212" s="57"/>
      <c r="T212" s="57"/>
      <c r="U212" s="57"/>
      <c r="V212" s="57"/>
      <c r="W212" s="45"/>
      <c r="X212" s="71"/>
      <c r="Y212" s="57"/>
      <c r="Z212" s="57"/>
      <c r="AA212" s="57"/>
      <c r="AB212" s="57"/>
      <c r="AC212" s="57"/>
      <c r="AD212" s="57"/>
      <c r="AE212" s="57"/>
      <c r="AF212" s="57"/>
      <c r="AG212" s="71"/>
      <c r="AH212" s="57"/>
      <c r="AI212" s="57"/>
      <c r="AJ212" s="57"/>
      <c r="AK212" s="57"/>
      <c r="AL212" s="57"/>
      <c r="AM212" s="57"/>
      <c r="AN212" s="57"/>
      <c r="AO212" s="57"/>
      <c r="AP212" s="71"/>
      <c r="AQ212" s="57"/>
      <c r="AR212" s="57"/>
      <c r="AS212" s="57"/>
      <c r="AT212" s="57"/>
      <c r="AU212" s="57"/>
      <c r="AV212" s="57"/>
      <c r="AW212" s="57"/>
      <c r="AX212" s="57"/>
      <c r="AY212" s="71"/>
      <c r="AZ212" s="57"/>
      <c r="BA212" s="55"/>
      <c r="BB212" s="55"/>
      <c r="BC212" s="55"/>
      <c r="BD212" s="55"/>
      <c r="BE212" s="55"/>
      <c r="BF212" s="55"/>
      <c r="BG212" s="57"/>
      <c r="BH212" s="65"/>
      <c r="BI212" s="55"/>
      <c r="BJ212" s="55"/>
      <c r="BK212" s="55"/>
      <c r="BL212" s="55"/>
      <c r="BM212" s="55"/>
      <c r="BN212" s="55"/>
      <c r="BO212" s="55"/>
      <c r="BP212" s="55"/>
      <c r="BQ212" s="65"/>
      <c r="BR212" s="55"/>
      <c r="BS212" s="55"/>
      <c r="BT212" s="55"/>
      <c r="BU212" s="55"/>
      <c r="BV212" s="55"/>
      <c r="BW212" s="55"/>
      <c r="BX212" s="55"/>
      <c r="BY212" s="55"/>
      <c r="BZ212" s="65"/>
      <c r="CA212" s="55"/>
      <c r="CB212" s="55"/>
      <c r="CC212" s="55"/>
      <c r="CD212" s="55"/>
      <c r="CE212" s="55"/>
      <c r="CF212" s="55"/>
      <c r="CG212" s="55"/>
      <c r="CH212" s="55"/>
      <c r="CI212" s="55"/>
    </row>
    <row r="213" spans="1:87">
      <c r="A213" s="12" t="str">
        <f>Roster!A213</f>
        <v/>
      </c>
      <c r="B213" s="28">
        <f>Roster!C213</f>
        <v>0</v>
      </c>
      <c r="C213" s="28" t="str">
        <f>IF(COUNTIFS(Table36103[[#This Row],[Continue Existing]:[Start New]], "TRUE")=0, "YES", "NO")</f>
        <v>YES</v>
      </c>
      <c r="D213" s="28" t="b">
        <f>COUNTIFS(Table36103[[#This Row],[Screening Results: Drug &amp; Alcohol Assessment 1]:[Other Reason 9]], "Continue with existing treatment services")&gt;0</f>
        <v>0</v>
      </c>
      <c r="E213" s="28" t="b">
        <f>COUNTIFS(Table36103[[#This Row],[Screening Results: Drug &amp; Alcohol Assessment 1]:[Other Reason 9]], "Start new service")&gt;0</f>
        <v>0</v>
      </c>
      <c r="F213" s="55"/>
      <c r="G213" s="56"/>
      <c r="H213" s="57"/>
      <c r="I213" s="57"/>
      <c r="J213" s="57"/>
      <c r="K213" s="57"/>
      <c r="L213" s="57"/>
      <c r="M213" s="57"/>
      <c r="N213" s="45"/>
      <c r="O213" s="58"/>
      <c r="P213" s="56"/>
      <c r="Q213" s="57"/>
      <c r="R213" s="57"/>
      <c r="S213" s="57"/>
      <c r="T213" s="57"/>
      <c r="U213" s="57"/>
      <c r="V213" s="57"/>
      <c r="W213" s="45"/>
      <c r="X213" s="71"/>
      <c r="Y213" s="57"/>
      <c r="Z213" s="57"/>
      <c r="AA213" s="57"/>
      <c r="AB213" s="57"/>
      <c r="AC213" s="57"/>
      <c r="AD213" s="57"/>
      <c r="AE213" s="57"/>
      <c r="AF213" s="57"/>
      <c r="AG213" s="71"/>
      <c r="AH213" s="57"/>
      <c r="AI213" s="57"/>
      <c r="AJ213" s="57"/>
      <c r="AK213" s="57"/>
      <c r="AL213" s="57"/>
      <c r="AM213" s="57"/>
      <c r="AN213" s="57"/>
      <c r="AO213" s="57"/>
      <c r="AP213" s="71"/>
      <c r="AQ213" s="57"/>
      <c r="AR213" s="57"/>
      <c r="AS213" s="57"/>
      <c r="AT213" s="57"/>
      <c r="AU213" s="57"/>
      <c r="AV213" s="57"/>
      <c r="AW213" s="57"/>
      <c r="AX213" s="57"/>
      <c r="AY213" s="71"/>
      <c r="AZ213" s="57"/>
      <c r="BA213" s="55"/>
      <c r="BB213" s="55"/>
      <c r="BC213" s="55"/>
      <c r="BD213" s="55"/>
      <c r="BE213" s="55"/>
      <c r="BF213" s="55"/>
      <c r="BG213" s="57"/>
      <c r="BH213" s="65"/>
      <c r="BI213" s="55"/>
      <c r="BJ213" s="55"/>
      <c r="BK213" s="55"/>
      <c r="BL213" s="55"/>
      <c r="BM213" s="55"/>
      <c r="BN213" s="55"/>
      <c r="BO213" s="55"/>
      <c r="BP213" s="55"/>
      <c r="BQ213" s="65"/>
      <c r="BR213" s="55"/>
      <c r="BS213" s="55"/>
      <c r="BT213" s="55"/>
      <c r="BU213" s="55"/>
      <c r="BV213" s="55"/>
      <c r="BW213" s="55"/>
      <c r="BX213" s="55"/>
      <c r="BY213" s="55"/>
      <c r="BZ213" s="65"/>
      <c r="CA213" s="55"/>
      <c r="CB213" s="55"/>
      <c r="CC213" s="55"/>
      <c r="CD213" s="55"/>
      <c r="CE213" s="55"/>
      <c r="CF213" s="55"/>
      <c r="CG213" s="55"/>
      <c r="CH213" s="55"/>
      <c r="CI213" s="55"/>
    </row>
    <row r="214" spans="1:87">
      <c r="A214" s="12" t="str">
        <f>Roster!A214</f>
        <v/>
      </c>
      <c r="B214" s="28">
        <f>Roster!C214</f>
        <v>0</v>
      </c>
      <c r="C214" s="28" t="str">
        <f>IF(COUNTIFS(Table36103[[#This Row],[Continue Existing]:[Start New]], "TRUE")=0, "YES", "NO")</f>
        <v>YES</v>
      </c>
      <c r="D214" s="28" t="b">
        <f>COUNTIFS(Table36103[[#This Row],[Screening Results: Drug &amp; Alcohol Assessment 1]:[Other Reason 9]], "Continue with existing treatment services")&gt;0</f>
        <v>0</v>
      </c>
      <c r="E214" s="28" t="b">
        <f>COUNTIFS(Table36103[[#This Row],[Screening Results: Drug &amp; Alcohol Assessment 1]:[Other Reason 9]], "Start new service")&gt;0</f>
        <v>0</v>
      </c>
      <c r="F214" s="55"/>
      <c r="G214" s="56"/>
      <c r="H214" s="57"/>
      <c r="I214" s="57"/>
      <c r="J214" s="57"/>
      <c r="K214" s="57"/>
      <c r="L214" s="57"/>
      <c r="M214" s="57"/>
      <c r="N214" s="45"/>
      <c r="O214" s="58"/>
      <c r="P214" s="56"/>
      <c r="Q214" s="57"/>
      <c r="R214" s="57"/>
      <c r="S214" s="57"/>
      <c r="T214" s="57"/>
      <c r="U214" s="57"/>
      <c r="V214" s="57"/>
      <c r="W214" s="45"/>
      <c r="X214" s="71"/>
      <c r="Y214" s="57"/>
      <c r="Z214" s="57"/>
      <c r="AA214" s="57"/>
      <c r="AB214" s="57"/>
      <c r="AC214" s="57"/>
      <c r="AD214" s="57"/>
      <c r="AE214" s="57"/>
      <c r="AF214" s="57"/>
      <c r="AG214" s="71"/>
      <c r="AH214" s="57"/>
      <c r="AI214" s="57"/>
      <c r="AJ214" s="57"/>
      <c r="AK214" s="57"/>
      <c r="AL214" s="57"/>
      <c r="AM214" s="57"/>
      <c r="AN214" s="57"/>
      <c r="AO214" s="57"/>
      <c r="AP214" s="71"/>
      <c r="AQ214" s="57"/>
      <c r="AR214" s="57"/>
      <c r="AS214" s="57"/>
      <c r="AT214" s="57"/>
      <c r="AU214" s="57"/>
      <c r="AV214" s="57"/>
      <c r="AW214" s="57"/>
      <c r="AX214" s="57"/>
      <c r="AY214" s="71"/>
      <c r="AZ214" s="57"/>
      <c r="BA214" s="55"/>
      <c r="BB214" s="55"/>
      <c r="BC214" s="55"/>
      <c r="BD214" s="55"/>
      <c r="BE214" s="55"/>
      <c r="BF214" s="55"/>
      <c r="BG214" s="57"/>
      <c r="BH214" s="65"/>
      <c r="BI214" s="55"/>
      <c r="BJ214" s="55"/>
      <c r="BK214" s="55"/>
      <c r="BL214" s="55"/>
      <c r="BM214" s="55"/>
      <c r="BN214" s="55"/>
      <c r="BO214" s="55"/>
      <c r="BP214" s="55"/>
      <c r="BQ214" s="65"/>
      <c r="BR214" s="55"/>
      <c r="BS214" s="55"/>
      <c r="BT214" s="55"/>
      <c r="BU214" s="55"/>
      <c r="BV214" s="55"/>
      <c r="BW214" s="55"/>
      <c r="BX214" s="55"/>
      <c r="BY214" s="55"/>
      <c r="BZ214" s="65"/>
      <c r="CA214" s="55"/>
      <c r="CB214" s="55"/>
      <c r="CC214" s="55"/>
      <c r="CD214" s="55"/>
      <c r="CE214" s="55"/>
      <c r="CF214" s="55"/>
      <c r="CG214" s="55"/>
      <c r="CH214" s="55"/>
      <c r="CI214" s="55"/>
    </row>
    <row r="215" spans="1:87">
      <c r="A215" s="12" t="str">
        <f>Roster!A215</f>
        <v/>
      </c>
      <c r="B215" s="28">
        <f>Roster!C215</f>
        <v>0</v>
      </c>
      <c r="C215" s="28" t="str">
        <f>IF(COUNTIFS(Table36103[[#This Row],[Continue Existing]:[Start New]], "TRUE")=0, "YES", "NO")</f>
        <v>YES</v>
      </c>
      <c r="D215" s="28" t="b">
        <f>COUNTIFS(Table36103[[#This Row],[Screening Results: Drug &amp; Alcohol Assessment 1]:[Other Reason 9]], "Continue with existing treatment services")&gt;0</f>
        <v>0</v>
      </c>
      <c r="E215" s="28" t="b">
        <f>COUNTIFS(Table36103[[#This Row],[Screening Results: Drug &amp; Alcohol Assessment 1]:[Other Reason 9]], "Start new service")&gt;0</f>
        <v>0</v>
      </c>
      <c r="F215" s="55"/>
      <c r="G215" s="56"/>
      <c r="H215" s="57"/>
      <c r="I215" s="57"/>
      <c r="J215" s="57"/>
      <c r="K215" s="57"/>
      <c r="L215" s="57"/>
      <c r="M215" s="57"/>
      <c r="N215" s="45"/>
      <c r="O215" s="58"/>
      <c r="P215" s="56"/>
      <c r="Q215" s="57"/>
      <c r="R215" s="57"/>
      <c r="S215" s="57"/>
      <c r="T215" s="57"/>
      <c r="U215" s="57"/>
      <c r="V215" s="57"/>
      <c r="W215" s="45"/>
      <c r="X215" s="71"/>
      <c r="Y215" s="57"/>
      <c r="Z215" s="57"/>
      <c r="AA215" s="57"/>
      <c r="AB215" s="57"/>
      <c r="AC215" s="57"/>
      <c r="AD215" s="57"/>
      <c r="AE215" s="57"/>
      <c r="AF215" s="57"/>
      <c r="AG215" s="71"/>
      <c r="AH215" s="57"/>
      <c r="AI215" s="57"/>
      <c r="AJ215" s="57"/>
      <c r="AK215" s="57"/>
      <c r="AL215" s="57"/>
      <c r="AM215" s="57"/>
      <c r="AN215" s="57"/>
      <c r="AO215" s="57"/>
      <c r="AP215" s="71"/>
      <c r="AQ215" s="57"/>
      <c r="AR215" s="57"/>
      <c r="AS215" s="57"/>
      <c r="AT215" s="57"/>
      <c r="AU215" s="57"/>
      <c r="AV215" s="57"/>
      <c r="AW215" s="57"/>
      <c r="AX215" s="57"/>
      <c r="AY215" s="71"/>
      <c r="AZ215" s="57"/>
      <c r="BA215" s="55"/>
      <c r="BB215" s="55"/>
      <c r="BC215" s="55"/>
      <c r="BD215" s="55"/>
      <c r="BE215" s="55"/>
      <c r="BF215" s="55"/>
      <c r="BG215" s="57"/>
      <c r="BH215" s="65"/>
      <c r="BI215" s="55"/>
      <c r="BJ215" s="55"/>
      <c r="BK215" s="55"/>
      <c r="BL215" s="55"/>
      <c r="BM215" s="55"/>
      <c r="BN215" s="55"/>
      <c r="BO215" s="55"/>
      <c r="BP215" s="55"/>
      <c r="BQ215" s="65"/>
      <c r="BR215" s="55"/>
      <c r="BS215" s="55"/>
      <c r="BT215" s="55"/>
      <c r="BU215" s="55"/>
      <c r="BV215" s="55"/>
      <c r="BW215" s="55"/>
      <c r="BX215" s="55"/>
      <c r="BY215" s="55"/>
      <c r="BZ215" s="65"/>
      <c r="CA215" s="55"/>
      <c r="CB215" s="55"/>
      <c r="CC215" s="55"/>
      <c r="CD215" s="55"/>
      <c r="CE215" s="55"/>
      <c r="CF215" s="55"/>
      <c r="CG215" s="55"/>
      <c r="CH215" s="55"/>
      <c r="CI215" s="55"/>
    </row>
    <row r="216" spans="1:87">
      <c r="A216" s="12" t="str">
        <f>Roster!A216</f>
        <v/>
      </c>
      <c r="B216" s="28">
        <f>Roster!C216</f>
        <v>0</v>
      </c>
      <c r="C216" s="28" t="str">
        <f>IF(COUNTIFS(Table36103[[#This Row],[Continue Existing]:[Start New]], "TRUE")=0, "YES", "NO")</f>
        <v>YES</v>
      </c>
      <c r="D216" s="28" t="b">
        <f>COUNTIFS(Table36103[[#This Row],[Screening Results: Drug &amp; Alcohol Assessment 1]:[Other Reason 9]], "Continue with existing treatment services")&gt;0</f>
        <v>0</v>
      </c>
      <c r="E216" s="28" t="b">
        <f>COUNTIFS(Table36103[[#This Row],[Screening Results: Drug &amp; Alcohol Assessment 1]:[Other Reason 9]], "Start new service")&gt;0</f>
        <v>0</v>
      </c>
      <c r="F216" s="55"/>
      <c r="G216" s="56"/>
      <c r="H216" s="57"/>
      <c r="I216" s="57"/>
      <c r="J216" s="57"/>
      <c r="K216" s="57"/>
      <c r="L216" s="57"/>
      <c r="M216" s="57"/>
      <c r="N216" s="45"/>
      <c r="O216" s="58"/>
      <c r="P216" s="56"/>
      <c r="Q216" s="57"/>
      <c r="R216" s="57"/>
      <c r="S216" s="57"/>
      <c r="T216" s="57"/>
      <c r="U216" s="57"/>
      <c r="V216" s="57"/>
      <c r="W216" s="45"/>
      <c r="X216" s="71"/>
      <c r="Y216" s="57"/>
      <c r="Z216" s="57"/>
      <c r="AA216" s="57"/>
      <c r="AB216" s="57"/>
      <c r="AC216" s="57"/>
      <c r="AD216" s="57"/>
      <c r="AE216" s="57"/>
      <c r="AF216" s="57"/>
      <c r="AG216" s="71"/>
      <c r="AH216" s="57"/>
      <c r="AI216" s="57"/>
      <c r="AJ216" s="57"/>
      <c r="AK216" s="57"/>
      <c r="AL216" s="57"/>
      <c r="AM216" s="57"/>
      <c r="AN216" s="57"/>
      <c r="AO216" s="57"/>
      <c r="AP216" s="71"/>
      <c r="AQ216" s="57"/>
      <c r="AR216" s="57"/>
      <c r="AS216" s="57"/>
      <c r="AT216" s="57"/>
      <c r="AU216" s="57"/>
      <c r="AV216" s="57"/>
      <c r="AW216" s="57"/>
      <c r="AX216" s="57"/>
      <c r="AY216" s="71"/>
      <c r="AZ216" s="57"/>
      <c r="BA216" s="55"/>
      <c r="BB216" s="55"/>
      <c r="BC216" s="55"/>
      <c r="BD216" s="55"/>
      <c r="BE216" s="55"/>
      <c r="BF216" s="55"/>
      <c r="BG216" s="57"/>
      <c r="BH216" s="65"/>
      <c r="BI216" s="55"/>
      <c r="BJ216" s="55"/>
      <c r="BK216" s="55"/>
      <c r="BL216" s="55"/>
      <c r="BM216" s="55"/>
      <c r="BN216" s="55"/>
      <c r="BO216" s="55"/>
      <c r="BP216" s="55"/>
      <c r="BQ216" s="65"/>
      <c r="BR216" s="55"/>
      <c r="BS216" s="55"/>
      <c r="BT216" s="55"/>
      <c r="BU216" s="55"/>
      <c r="BV216" s="55"/>
      <c r="BW216" s="55"/>
      <c r="BX216" s="55"/>
      <c r="BY216" s="55"/>
      <c r="BZ216" s="65"/>
      <c r="CA216" s="55"/>
      <c r="CB216" s="55"/>
      <c r="CC216" s="55"/>
      <c r="CD216" s="55"/>
      <c r="CE216" s="55"/>
      <c r="CF216" s="55"/>
      <c r="CG216" s="55"/>
      <c r="CH216" s="55"/>
      <c r="CI216" s="55"/>
    </row>
    <row r="217" spans="1:87">
      <c r="A217" s="12" t="str">
        <f>Roster!A217</f>
        <v/>
      </c>
      <c r="B217" s="28">
        <f>Roster!C217</f>
        <v>0</v>
      </c>
      <c r="C217" s="28" t="str">
        <f>IF(COUNTIFS(Table36103[[#This Row],[Continue Existing]:[Start New]], "TRUE")=0, "YES", "NO")</f>
        <v>YES</v>
      </c>
      <c r="D217" s="28" t="b">
        <f>COUNTIFS(Table36103[[#This Row],[Screening Results: Drug &amp; Alcohol Assessment 1]:[Other Reason 9]], "Continue with existing treatment services")&gt;0</f>
        <v>0</v>
      </c>
      <c r="E217" s="28" t="b">
        <f>COUNTIFS(Table36103[[#This Row],[Screening Results: Drug &amp; Alcohol Assessment 1]:[Other Reason 9]], "Start new service")&gt;0</f>
        <v>0</v>
      </c>
      <c r="F217" s="55"/>
      <c r="G217" s="56"/>
      <c r="H217" s="57"/>
      <c r="I217" s="57"/>
      <c r="J217" s="57"/>
      <c r="K217" s="57"/>
      <c r="L217" s="57"/>
      <c r="M217" s="57"/>
      <c r="N217" s="45"/>
      <c r="O217" s="58"/>
      <c r="P217" s="56"/>
      <c r="Q217" s="57"/>
      <c r="R217" s="57"/>
      <c r="S217" s="57"/>
      <c r="T217" s="57"/>
      <c r="U217" s="57"/>
      <c r="V217" s="57"/>
      <c r="W217" s="45"/>
      <c r="X217" s="71"/>
      <c r="Y217" s="57"/>
      <c r="Z217" s="57"/>
      <c r="AA217" s="57"/>
      <c r="AB217" s="57"/>
      <c r="AC217" s="57"/>
      <c r="AD217" s="57"/>
      <c r="AE217" s="57"/>
      <c r="AF217" s="57"/>
      <c r="AG217" s="71"/>
      <c r="AH217" s="57"/>
      <c r="AI217" s="57"/>
      <c r="AJ217" s="57"/>
      <c r="AK217" s="57"/>
      <c r="AL217" s="57"/>
      <c r="AM217" s="57"/>
      <c r="AN217" s="57"/>
      <c r="AO217" s="57"/>
      <c r="AP217" s="71"/>
      <c r="AQ217" s="57"/>
      <c r="AR217" s="57"/>
      <c r="AS217" s="57"/>
      <c r="AT217" s="57"/>
      <c r="AU217" s="57"/>
      <c r="AV217" s="57"/>
      <c r="AW217" s="57"/>
      <c r="AX217" s="57"/>
      <c r="AY217" s="71"/>
      <c r="AZ217" s="57"/>
      <c r="BA217" s="55"/>
      <c r="BB217" s="55"/>
      <c r="BC217" s="55"/>
      <c r="BD217" s="55"/>
      <c r="BE217" s="55"/>
      <c r="BF217" s="55"/>
      <c r="BG217" s="57"/>
      <c r="BH217" s="65"/>
      <c r="BI217" s="55"/>
      <c r="BJ217" s="55"/>
      <c r="BK217" s="55"/>
      <c r="BL217" s="55"/>
      <c r="BM217" s="55"/>
      <c r="BN217" s="55"/>
      <c r="BO217" s="55"/>
      <c r="BP217" s="55"/>
      <c r="BQ217" s="65"/>
      <c r="BR217" s="55"/>
      <c r="BS217" s="55"/>
      <c r="BT217" s="55"/>
      <c r="BU217" s="55"/>
      <c r="BV217" s="55"/>
      <c r="BW217" s="55"/>
      <c r="BX217" s="55"/>
      <c r="BY217" s="55"/>
      <c r="BZ217" s="65"/>
      <c r="CA217" s="55"/>
      <c r="CB217" s="55"/>
      <c r="CC217" s="55"/>
      <c r="CD217" s="55"/>
      <c r="CE217" s="55"/>
      <c r="CF217" s="55"/>
      <c r="CG217" s="55"/>
      <c r="CH217" s="55"/>
      <c r="CI217" s="55"/>
    </row>
    <row r="218" spans="1:87">
      <c r="A218" s="12" t="str">
        <f>Roster!A218</f>
        <v/>
      </c>
      <c r="B218" s="28">
        <f>Roster!C218</f>
        <v>0</v>
      </c>
      <c r="C218" s="28" t="str">
        <f>IF(COUNTIFS(Table36103[[#This Row],[Continue Existing]:[Start New]], "TRUE")=0, "YES", "NO")</f>
        <v>YES</v>
      </c>
      <c r="D218" s="28" t="b">
        <f>COUNTIFS(Table36103[[#This Row],[Screening Results: Drug &amp; Alcohol Assessment 1]:[Other Reason 9]], "Continue with existing treatment services")&gt;0</f>
        <v>0</v>
      </c>
      <c r="E218" s="28" t="b">
        <f>COUNTIFS(Table36103[[#This Row],[Screening Results: Drug &amp; Alcohol Assessment 1]:[Other Reason 9]], "Start new service")&gt;0</f>
        <v>0</v>
      </c>
      <c r="F218" s="55"/>
      <c r="G218" s="56"/>
      <c r="H218" s="57"/>
      <c r="I218" s="57"/>
      <c r="J218" s="57"/>
      <c r="K218" s="57"/>
      <c r="L218" s="57"/>
      <c r="M218" s="57"/>
      <c r="N218" s="45"/>
      <c r="O218" s="58"/>
      <c r="P218" s="56"/>
      <c r="Q218" s="57"/>
      <c r="R218" s="57"/>
      <c r="S218" s="57"/>
      <c r="T218" s="57"/>
      <c r="U218" s="57"/>
      <c r="V218" s="57"/>
      <c r="W218" s="45"/>
      <c r="X218" s="71"/>
      <c r="Y218" s="57"/>
      <c r="Z218" s="57"/>
      <c r="AA218" s="57"/>
      <c r="AB218" s="57"/>
      <c r="AC218" s="57"/>
      <c r="AD218" s="57"/>
      <c r="AE218" s="57"/>
      <c r="AF218" s="57"/>
      <c r="AG218" s="71"/>
      <c r="AH218" s="57"/>
      <c r="AI218" s="57"/>
      <c r="AJ218" s="57"/>
      <c r="AK218" s="57"/>
      <c r="AL218" s="57"/>
      <c r="AM218" s="57"/>
      <c r="AN218" s="57"/>
      <c r="AO218" s="57"/>
      <c r="AP218" s="71"/>
      <c r="AQ218" s="57"/>
      <c r="AR218" s="57"/>
      <c r="AS218" s="57"/>
      <c r="AT218" s="57"/>
      <c r="AU218" s="57"/>
      <c r="AV218" s="57"/>
      <c r="AW218" s="57"/>
      <c r="AX218" s="57"/>
      <c r="AY218" s="71"/>
      <c r="AZ218" s="57"/>
      <c r="BA218" s="55"/>
      <c r="BB218" s="55"/>
      <c r="BC218" s="55"/>
      <c r="BD218" s="55"/>
      <c r="BE218" s="55"/>
      <c r="BF218" s="55"/>
      <c r="BG218" s="57"/>
      <c r="BH218" s="65"/>
      <c r="BI218" s="55"/>
      <c r="BJ218" s="55"/>
      <c r="BK218" s="55"/>
      <c r="BL218" s="55"/>
      <c r="BM218" s="55"/>
      <c r="BN218" s="55"/>
      <c r="BO218" s="55"/>
      <c r="BP218" s="55"/>
      <c r="BQ218" s="65"/>
      <c r="BR218" s="55"/>
      <c r="BS218" s="55"/>
      <c r="BT218" s="55"/>
      <c r="BU218" s="55"/>
      <c r="BV218" s="55"/>
      <c r="BW218" s="55"/>
      <c r="BX218" s="55"/>
      <c r="BY218" s="55"/>
      <c r="BZ218" s="65"/>
      <c r="CA218" s="55"/>
      <c r="CB218" s="55"/>
      <c r="CC218" s="55"/>
      <c r="CD218" s="55"/>
      <c r="CE218" s="55"/>
      <c r="CF218" s="55"/>
      <c r="CG218" s="55"/>
      <c r="CH218" s="55"/>
      <c r="CI218" s="55"/>
    </row>
    <row r="219" spans="1:87">
      <c r="A219" s="12" t="str">
        <f>Roster!A219</f>
        <v/>
      </c>
      <c r="B219" s="28">
        <f>Roster!C219</f>
        <v>0</v>
      </c>
      <c r="C219" s="28" t="str">
        <f>IF(COUNTIFS(Table36103[[#This Row],[Continue Existing]:[Start New]], "TRUE")=0, "YES", "NO")</f>
        <v>YES</v>
      </c>
      <c r="D219" s="28" t="b">
        <f>COUNTIFS(Table36103[[#This Row],[Screening Results: Drug &amp; Alcohol Assessment 1]:[Other Reason 9]], "Continue with existing treatment services")&gt;0</f>
        <v>0</v>
      </c>
      <c r="E219" s="28" t="b">
        <f>COUNTIFS(Table36103[[#This Row],[Screening Results: Drug &amp; Alcohol Assessment 1]:[Other Reason 9]], "Start new service")&gt;0</f>
        <v>0</v>
      </c>
      <c r="F219" s="55"/>
      <c r="G219" s="56"/>
      <c r="H219" s="57"/>
      <c r="I219" s="57"/>
      <c r="J219" s="57"/>
      <c r="K219" s="57"/>
      <c r="L219" s="57"/>
      <c r="M219" s="57"/>
      <c r="N219" s="45"/>
      <c r="O219" s="58"/>
      <c r="P219" s="56"/>
      <c r="Q219" s="57"/>
      <c r="R219" s="57"/>
      <c r="S219" s="57"/>
      <c r="T219" s="57"/>
      <c r="U219" s="57"/>
      <c r="V219" s="57"/>
      <c r="W219" s="45"/>
      <c r="X219" s="71"/>
      <c r="Y219" s="57"/>
      <c r="Z219" s="57"/>
      <c r="AA219" s="57"/>
      <c r="AB219" s="57"/>
      <c r="AC219" s="57"/>
      <c r="AD219" s="57"/>
      <c r="AE219" s="57"/>
      <c r="AF219" s="57"/>
      <c r="AG219" s="71"/>
      <c r="AH219" s="57"/>
      <c r="AI219" s="57"/>
      <c r="AJ219" s="57"/>
      <c r="AK219" s="57"/>
      <c r="AL219" s="57"/>
      <c r="AM219" s="57"/>
      <c r="AN219" s="57"/>
      <c r="AO219" s="57"/>
      <c r="AP219" s="71"/>
      <c r="AQ219" s="57"/>
      <c r="AR219" s="57"/>
      <c r="AS219" s="57"/>
      <c r="AT219" s="57"/>
      <c r="AU219" s="57"/>
      <c r="AV219" s="57"/>
      <c r="AW219" s="57"/>
      <c r="AX219" s="57"/>
      <c r="AY219" s="71"/>
      <c r="AZ219" s="57"/>
      <c r="BA219" s="55"/>
      <c r="BB219" s="55"/>
      <c r="BC219" s="55"/>
      <c r="BD219" s="55"/>
      <c r="BE219" s="55"/>
      <c r="BF219" s="55"/>
      <c r="BG219" s="57"/>
      <c r="BH219" s="65"/>
      <c r="BI219" s="55"/>
      <c r="BJ219" s="55"/>
      <c r="BK219" s="55"/>
      <c r="BL219" s="55"/>
      <c r="BM219" s="55"/>
      <c r="BN219" s="55"/>
      <c r="BO219" s="55"/>
      <c r="BP219" s="55"/>
      <c r="BQ219" s="65"/>
      <c r="BR219" s="55"/>
      <c r="BS219" s="55"/>
      <c r="BT219" s="55"/>
      <c r="BU219" s="55"/>
      <c r="BV219" s="55"/>
      <c r="BW219" s="55"/>
      <c r="BX219" s="55"/>
      <c r="BY219" s="55"/>
      <c r="BZ219" s="65"/>
      <c r="CA219" s="55"/>
      <c r="CB219" s="55"/>
      <c r="CC219" s="55"/>
      <c r="CD219" s="55"/>
      <c r="CE219" s="55"/>
      <c r="CF219" s="55"/>
      <c r="CG219" s="55"/>
      <c r="CH219" s="55"/>
      <c r="CI219" s="55"/>
    </row>
    <row r="220" spans="1:87">
      <c r="A220" s="12" t="str">
        <f>Roster!A220</f>
        <v/>
      </c>
      <c r="B220" s="28">
        <f>Roster!C220</f>
        <v>0</v>
      </c>
      <c r="C220" s="28" t="str">
        <f>IF(COUNTIFS(Table36103[[#This Row],[Continue Existing]:[Start New]], "TRUE")=0, "YES", "NO")</f>
        <v>YES</v>
      </c>
      <c r="D220" s="28" t="b">
        <f>COUNTIFS(Table36103[[#This Row],[Screening Results: Drug &amp; Alcohol Assessment 1]:[Other Reason 9]], "Continue with existing treatment services")&gt;0</f>
        <v>0</v>
      </c>
      <c r="E220" s="28" t="b">
        <f>COUNTIFS(Table36103[[#This Row],[Screening Results: Drug &amp; Alcohol Assessment 1]:[Other Reason 9]], "Start new service")&gt;0</f>
        <v>0</v>
      </c>
      <c r="F220" s="55"/>
      <c r="G220" s="56"/>
      <c r="H220" s="57"/>
      <c r="I220" s="57"/>
      <c r="J220" s="57"/>
      <c r="K220" s="57"/>
      <c r="L220" s="57"/>
      <c r="M220" s="57"/>
      <c r="N220" s="45"/>
      <c r="O220" s="58"/>
      <c r="P220" s="56"/>
      <c r="Q220" s="57"/>
      <c r="R220" s="57"/>
      <c r="S220" s="57"/>
      <c r="T220" s="57"/>
      <c r="U220" s="57"/>
      <c r="V220" s="57"/>
      <c r="W220" s="45"/>
      <c r="X220" s="71"/>
      <c r="Y220" s="57"/>
      <c r="Z220" s="57"/>
      <c r="AA220" s="57"/>
      <c r="AB220" s="57"/>
      <c r="AC220" s="57"/>
      <c r="AD220" s="57"/>
      <c r="AE220" s="57"/>
      <c r="AF220" s="57"/>
      <c r="AG220" s="71"/>
      <c r="AH220" s="57"/>
      <c r="AI220" s="57"/>
      <c r="AJ220" s="57"/>
      <c r="AK220" s="57"/>
      <c r="AL220" s="57"/>
      <c r="AM220" s="57"/>
      <c r="AN220" s="57"/>
      <c r="AO220" s="57"/>
      <c r="AP220" s="71"/>
      <c r="AQ220" s="57"/>
      <c r="AR220" s="57"/>
      <c r="AS220" s="57"/>
      <c r="AT220" s="57"/>
      <c r="AU220" s="57"/>
      <c r="AV220" s="57"/>
      <c r="AW220" s="57"/>
      <c r="AX220" s="57"/>
      <c r="AY220" s="71"/>
      <c r="AZ220" s="57"/>
      <c r="BA220" s="55"/>
      <c r="BB220" s="55"/>
      <c r="BC220" s="55"/>
      <c r="BD220" s="55"/>
      <c r="BE220" s="55"/>
      <c r="BF220" s="55"/>
      <c r="BG220" s="57"/>
      <c r="BH220" s="65"/>
      <c r="BI220" s="55"/>
      <c r="BJ220" s="55"/>
      <c r="BK220" s="55"/>
      <c r="BL220" s="55"/>
      <c r="BM220" s="55"/>
      <c r="BN220" s="55"/>
      <c r="BO220" s="55"/>
      <c r="BP220" s="55"/>
      <c r="BQ220" s="65"/>
      <c r="BR220" s="55"/>
      <c r="BS220" s="55"/>
      <c r="BT220" s="55"/>
      <c r="BU220" s="55"/>
      <c r="BV220" s="55"/>
      <c r="BW220" s="55"/>
      <c r="BX220" s="55"/>
      <c r="BY220" s="55"/>
      <c r="BZ220" s="65"/>
      <c r="CA220" s="55"/>
      <c r="CB220" s="55"/>
      <c r="CC220" s="55"/>
      <c r="CD220" s="55"/>
      <c r="CE220" s="55"/>
      <c r="CF220" s="55"/>
      <c r="CG220" s="55"/>
      <c r="CH220" s="55"/>
      <c r="CI220" s="55"/>
    </row>
    <row r="221" spans="1:87">
      <c r="A221" s="12" t="str">
        <f>Roster!A221</f>
        <v/>
      </c>
      <c r="B221" s="28">
        <f>Roster!C221</f>
        <v>0</v>
      </c>
      <c r="C221" s="28" t="str">
        <f>IF(COUNTIFS(Table36103[[#This Row],[Continue Existing]:[Start New]], "TRUE")=0, "YES", "NO")</f>
        <v>YES</v>
      </c>
      <c r="D221" s="28" t="b">
        <f>COUNTIFS(Table36103[[#This Row],[Screening Results: Drug &amp; Alcohol Assessment 1]:[Other Reason 9]], "Continue with existing treatment services")&gt;0</f>
        <v>0</v>
      </c>
      <c r="E221" s="28" t="b">
        <f>COUNTIFS(Table36103[[#This Row],[Screening Results: Drug &amp; Alcohol Assessment 1]:[Other Reason 9]], "Start new service")&gt;0</f>
        <v>0</v>
      </c>
      <c r="F221" s="55"/>
      <c r="G221" s="56"/>
      <c r="H221" s="57"/>
      <c r="I221" s="57"/>
      <c r="J221" s="57"/>
      <c r="K221" s="57"/>
      <c r="L221" s="57"/>
      <c r="M221" s="57"/>
      <c r="N221" s="45"/>
      <c r="O221" s="58"/>
      <c r="P221" s="56"/>
      <c r="Q221" s="57"/>
      <c r="R221" s="57"/>
      <c r="S221" s="57"/>
      <c r="T221" s="57"/>
      <c r="U221" s="57"/>
      <c r="V221" s="57"/>
      <c r="W221" s="45"/>
      <c r="X221" s="71"/>
      <c r="Y221" s="57"/>
      <c r="Z221" s="57"/>
      <c r="AA221" s="57"/>
      <c r="AB221" s="57"/>
      <c r="AC221" s="57"/>
      <c r="AD221" s="57"/>
      <c r="AE221" s="57"/>
      <c r="AF221" s="57"/>
      <c r="AG221" s="71"/>
      <c r="AH221" s="57"/>
      <c r="AI221" s="57"/>
      <c r="AJ221" s="57"/>
      <c r="AK221" s="57"/>
      <c r="AL221" s="57"/>
      <c r="AM221" s="57"/>
      <c r="AN221" s="57"/>
      <c r="AO221" s="57"/>
      <c r="AP221" s="71"/>
      <c r="AQ221" s="57"/>
      <c r="AR221" s="57"/>
      <c r="AS221" s="57"/>
      <c r="AT221" s="57"/>
      <c r="AU221" s="57"/>
      <c r="AV221" s="57"/>
      <c r="AW221" s="57"/>
      <c r="AX221" s="57"/>
      <c r="AY221" s="71"/>
      <c r="AZ221" s="57"/>
      <c r="BA221" s="55"/>
      <c r="BB221" s="55"/>
      <c r="BC221" s="55"/>
      <c r="BD221" s="55"/>
      <c r="BE221" s="55"/>
      <c r="BF221" s="55"/>
      <c r="BG221" s="57"/>
      <c r="BH221" s="65"/>
      <c r="BI221" s="55"/>
      <c r="BJ221" s="55"/>
      <c r="BK221" s="55"/>
      <c r="BL221" s="55"/>
      <c r="BM221" s="55"/>
      <c r="BN221" s="55"/>
      <c r="BO221" s="55"/>
      <c r="BP221" s="55"/>
      <c r="BQ221" s="65"/>
      <c r="BR221" s="55"/>
      <c r="BS221" s="55"/>
      <c r="BT221" s="55"/>
      <c r="BU221" s="55"/>
      <c r="BV221" s="55"/>
      <c r="BW221" s="55"/>
      <c r="BX221" s="55"/>
      <c r="BY221" s="55"/>
      <c r="BZ221" s="65"/>
      <c r="CA221" s="55"/>
      <c r="CB221" s="55"/>
      <c r="CC221" s="55"/>
      <c r="CD221" s="55"/>
      <c r="CE221" s="55"/>
      <c r="CF221" s="55"/>
      <c r="CG221" s="55"/>
      <c r="CH221" s="55"/>
      <c r="CI221" s="55"/>
    </row>
    <row r="222" spans="1:87">
      <c r="A222" s="12" t="str">
        <f>Roster!A222</f>
        <v/>
      </c>
      <c r="B222" s="28">
        <f>Roster!C222</f>
        <v>0</v>
      </c>
      <c r="C222" s="28" t="str">
        <f>IF(COUNTIFS(Table36103[[#This Row],[Continue Existing]:[Start New]], "TRUE")=0, "YES", "NO")</f>
        <v>YES</v>
      </c>
      <c r="D222" s="28" t="b">
        <f>COUNTIFS(Table36103[[#This Row],[Screening Results: Drug &amp; Alcohol Assessment 1]:[Other Reason 9]], "Continue with existing treatment services")&gt;0</f>
        <v>0</v>
      </c>
      <c r="E222" s="28" t="b">
        <f>COUNTIFS(Table36103[[#This Row],[Screening Results: Drug &amp; Alcohol Assessment 1]:[Other Reason 9]], "Start new service")&gt;0</f>
        <v>0</v>
      </c>
      <c r="F222" s="55"/>
      <c r="G222" s="56"/>
      <c r="H222" s="57"/>
      <c r="I222" s="57"/>
      <c r="J222" s="57"/>
      <c r="K222" s="57"/>
      <c r="L222" s="57"/>
      <c r="M222" s="57"/>
      <c r="N222" s="45"/>
      <c r="O222" s="58"/>
      <c r="P222" s="56"/>
      <c r="Q222" s="57"/>
      <c r="R222" s="57"/>
      <c r="S222" s="57"/>
      <c r="T222" s="57"/>
      <c r="U222" s="57"/>
      <c r="V222" s="57"/>
      <c r="W222" s="45"/>
      <c r="X222" s="71"/>
      <c r="Y222" s="57"/>
      <c r="Z222" s="57"/>
      <c r="AA222" s="57"/>
      <c r="AB222" s="57"/>
      <c r="AC222" s="57"/>
      <c r="AD222" s="57"/>
      <c r="AE222" s="57"/>
      <c r="AF222" s="57"/>
      <c r="AG222" s="71"/>
      <c r="AH222" s="57"/>
      <c r="AI222" s="57"/>
      <c r="AJ222" s="57"/>
      <c r="AK222" s="57"/>
      <c r="AL222" s="57"/>
      <c r="AM222" s="57"/>
      <c r="AN222" s="57"/>
      <c r="AO222" s="57"/>
      <c r="AP222" s="71"/>
      <c r="AQ222" s="57"/>
      <c r="AR222" s="57"/>
      <c r="AS222" s="57"/>
      <c r="AT222" s="57"/>
      <c r="AU222" s="57"/>
      <c r="AV222" s="57"/>
      <c r="AW222" s="57"/>
      <c r="AX222" s="57"/>
      <c r="AY222" s="71"/>
      <c r="AZ222" s="57"/>
      <c r="BA222" s="55"/>
      <c r="BB222" s="55"/>
      <c r="BC222" s="55"/>
      <c r="BD222" s="55"/>
      <c r="BE222" s="55"/>
      <c r="BF222" s="55"/>
      <c r="BG222" s="57"/>
      <c r="BH222" s="65"/>
      <c r="BI222" s="55"/>
      <c r="BJ222" s="55"/>
      <c r="BK222" s="55"/>
      <c r="BL222" s="55"/>
      <c r="BM222" s="55"/>
      <c r="BN222" s="55"/>
      <c r="BO222" s="55"/>
      <c r="BP222" s="55"/>
      <c r="BQ222" s="65"/>
      <c r="BR222" s="55"/>
      <c r="BS222" s="55"/>
      <c r="BT222" s="55"/>
      <c r="BU222" s="55"/>
      <c r="BV222" s="55"/>
      <c r="BW222" s="55"/>
      <c r="BX222" s="55"/>
      <c r="BY222" s="55"/>
      <c r="BZ222" s="65"/>
      <c r="CA222" s="55"/>
      <c r="CB222" s="55"/>
      <c r="CC222" s="55"/>
      <c r="CD222" s="55"/>
      <c r="CE222" s="55"/>
      <c r="CF222" s="55"/>
      <c r="CG222" s="55"/>
      <c r="CH222" s="55"/>
      <c r="CI222" s="55"/>
    </row>
    <row r="223" spans="1:87">
      <c r="A223" s="12" t="str">
        <f>Roster!A223</f>
        <v/>
      </c>
      <c r="B223" s="28">
        <f>Roster!C223</f>
        <v>0</v>
      </c>
      <c r="C223" s="28" t="str">
        <f>IF(COUNTIFS(Table36103[[#This Row],[Continue Existing]:[Start New]], "TRUE")=0, "YES", "NO")</f>
        <v>YES</v>
      </c>
      <c r="D223" s="28" t="b">
        <f>COUNTIFS(Table36103[[#This Row],[Screening Results: Drug &amp; Alcohol Assessment 1]:[Other Reason 9]], "Continue with existing treatment services")&gt;0</f>
        <v>0</v>
      </c>
      <c r="E223" s="28" t="b">
        <f>COUNTIFS(Table36103[[#This Row],[Screening Results: Drug &amp; Alcohol Assessment 1]:[Other Reason 9]], "Start new service")&gt;0</f>
        <v>0</v>
      </c>
      <c r="F223" s="55"/>
      <c r="G223" s="56"/>
      <c r="H223" s="57"/>
      <c r="I223" s="57"/>
      <c r="J223" s="57"/>
      <c r="K223" s="57"/>
      <c r="L223" s="57"/>
      <c r="M223" s="57"/>
      <c r="N223" s="45"/>
      <c r="O223" s="58"/>
      <c r="P223" s="56"/>
      <c r="Q223" s="57"/>
      <c r="R223" s="57"/>
      <c r="S223" s="57"/>
      <c r="T223" s="57"/>
      <c r="U223" s="57"/>
      <c r="V223" s="57"/>
      <c r="W223" s="45"/>
      <c r="X223" s="71"/>
      <c r="Y223" s="57"/>
      <c r="Z223" s="57"/>
      <c r="AA223" s="57"/>
      <c r="AB223" s="57"/>
      <c r="AC223" s="57"/>
      <c r="AD223" s="57"/>
      <c r="AE223" s="57"/>
      <c r="AF223" s="57"/>
      <c r="AG223" s="71"/>
      <c r="AH223" s="57"/>
      <c r="AI223" s="57"/>
      <c r="AJ223" s="57"/>
      <c r="AK223" s="57"/>
      <c r="AL223" s="57"/>
      <c r="AM223" s="57"/>
      <c r="AN223" s="57"/>
      <c r="AO223" s="57"/>
      <c r="AP223" s="71"/>
      <c r="AQ223" s="57"/>
      <c r="AR223" s="57"/>
      <c r="AS223" s="57"/>
      <c r="AT223" s="57"/>
      <c r="AU223" s="57"/>
      <c r="AV223" s="57"/>
      <c r="AW223" s="57"/>
      <c r="AX223" s="57"/>
      <c r="AY223" s="71"/>
      <c r="AZ223" s="57"/>
      <c r="BA223" s="55"/>
      <c r="BB223" s="55"/>
      <c r="BC223" s="55"/>
      <c r="BD223" s="55"/>
      <c r="BE223" s="55"/>
      <c r="BF223" s="55"/>
      <c r="BG223" s="57"/>
      <c r="BH223" s="65"/>
      <c r="BI223" s="55"/>
      <c r="BJ223" s="55"/>
      <c r="BK223" s="55"/>
      <c r="BL223" s="55"/>
      <c r="BM223" s="55"/>
      <c r="BN223" s="55"/>
      <c r="BO223" s="55"/>
      <c r="BP223" s="55"/>
      <c r="BQ223" s="65"/>
      <c r="BR223" s="55"/>
      <c r="BS223" s="55"/>
      <c r="BT223" s="55"/>
      <c r="BU223" s="55"/>
      <c r="BV223" s="55"/>
      <c r="BW223" s="55"/>
      <c r="BX223" s="55"/>
      <c r="BY223" s="55"/>
      <c r="BZ223" s="65"/>
      <c r="CA223" s="55"/>
      <c r="CB223" s="55"/>
      <c r="CC223" s="55"/>
      <c r="CD223" s="55"/>
      <c r="CE223" s="55"/>
      <c r="CF223" s="55"/>
      <c r="CG223" s="55"/>
      <c r="CH223" s="55"/>
      <c r="CI223" s="55"/>
    </row>
    <row r="224" spans="1:87">
      <c r="A224" s="12" t="str">
        <f>Roster!A224</f>
        <v/>
      </c>
      <c r="B224" s="28">
        <f>Roster!C224</f>
        <v>0</v>
      </c>
      <c r="C224" s="28" t="str">
        <f>IF(COUNTIFS(Table36103[[#This Row],[Continue Existing]:[Start New]], "TRUE")=0, "YES", "NO")</f>
        <v>YES</v>
      </c>
      <c r="D224" s="28" t="b">
        <f>COUNTIFS(Table36103[[#This Row],[Screening Results: Drug &amp; Alcohol Assessment 1]:[Other Reason 9]], "Continue with existing treatment services")&gt;0</f>
        <v>0</v>
      </c>
      <c r="E224" s="28" t="b">
        <f>COUNTIFS(Table36103[[#This Row],[Screening Results: Drug &amp; Alcohol Assessment 1]:[Other Reason 9]], "Start new service")&gt;0</f>
        <v>0</v>
      </c>
      <c r="F224" s="55"/>
      <c r="G224" s="56"/>
      <c r="H224" s="57"/>
      <c r="I224" s="57"/>
      <c r="J224" s="57"/>
      <c r="K224" s="57"/>
      <c r="L224" s="57"/>
      <c r="M224" s="57"/>
      <c r="N224" s="45"/>
      <c r="O224" s="58"/>
      <c r="P224" s="56"/>
      <c r="Q224" s="57"/>
      <c r="R224" s="57"/>
      <c r="S224" s="57"/>
      <c r="T224" s="57"/>
      <c r="U224" s="57"/>
      <c r="V224" s="57"/>
      <c r="W224" s="45"/>
      <c r="X224" s="71"/>
      <c r="Y224" s="57"/>
      <c r="Z224" s="57"/>
      <c r="AA224" s="57"/>
      <c r="AB224" s="57"/>
      <c r="AC224" s="57"/>
      <c r="AD224" s="57"/>
      <c r="AE224" s="57"/>
      <c r="AF224" s="57"/>
      <c r="AG224" s="71"/>
      <c r="AH224" s="57"/>
      <c r="AI224" s="57"/>
      <c r="AJ224" s="57"/>
      <c r="AK224" s="57"/>
      <c r="AL224" s="57"/>
      <c r="AM224" s="57"/>
      <c r="AN224" s="57"/>
      <c r="AO224" s="57"/>
      <c r="AP224" s="71"/>
      <c r="AQ224" s="57"/>
      <c r="AR224" s="57"/>
      <c r="AS224" s="57"/>
      <c r="AT224" s="57"/>
      <c r="AU224" s="57"/>
      <c r="AV224" s="57"/>
      <c r="AW224" s="57"/>
      <c r="AX224" s="57"/>
      <c r="AY224" s="71"/>
      <c r="AZ224" s="57"/>
      <c r="BA224" s="55"/>
      <c r="BB224" s="55"/>
      <c r="BC224" s="55"/>
      <c r="BD224" s="55"/>
      <c r="BE224" s="55"/>
      <c r="BF224" s="55"/>
      <c r="BG224" s="57"/>
      <c r="BH224" s="65"/>
      <c r="BI224" s="55"/>
      <c r="BJ224" s="55"/>
      <c r="BK224" s="55"/>
      <c r="BL224" s="55"/>
      <c r="BM224" s="55"/>
      <c r="BN224" s="55"/>
      <c r="BO224" s="55"/>
      <c r="BP224" s="55"/>
      <c r="BQ224" s="65"/>
      <c r="BR224" s="55"/>
      <c r="BS224" s="55"/>
      <c r="BT224" s="55"/>
      <c r="BU224" s="55"/>
      <c r="BV224" s="55"/>
      <c r="BW224" s="55"/>
      <c r="BX224" s="55"/>
      <c r="BY224" s="55"/>
      <c r="BZ224" s="65"/>
      <c r="CA224" s="55"/>
      <c r="CB224" s="55"/>
      <c r="CC224" s="55"/>
      <c r="CD224" s="55"/>
      <c r="CE224" s="55"/>
      <c r="CF224" s="55"/>
      <c r="CG224" s="55"/>
      <c r="CH224" s="55"/>
      <c r="CI224" s="55"/>
    </row>
    <row r="225" spans="1:87">
      <c r="A225" s="12" t="str">
        <f>Roster!A225</f>
        <v/>
      </c>
      <c r="B225" s="28">
        <f>Roster!C225</f>
        <v>0</v>
      </c>
      <c r="C225" s="28" t="str">
        <f>IF(COUNTIFS(Table36103[[#This Row],[Continue Existing]:[Start New]], "TRUE")=0, "YES", "NO")</f>
        <v>YES</v>
      </c>
      <c r="D225" s="28" t="b">
        <f>COUNTIFS(Table36103[[#This Row],[Screening Results: Drug &amp; Alcohol Assessment 1]:[Other Reason 9]], "Continue with existing treatment services")&gt;0</f>
        <v>0</v>
      </c>
      <c r="E225" s="28" t="b">
        <f>COUNTIFS(Table36103[[#This Row],[Screening Results: Drug &amp; Alcohol Assessment 1]:[Other Reason 9]], "Start new service")&gt;0</f>
        <v>0</v>
      </c>
      <c r="F225" s="55"/>
      <c r="G225" s="56"/>
      <c r="H225" s="57"/>
      <c r="I225" s="57"/>
      <c r="J225" s="57"/>
      <c r="K225" s="57"/>
      <c r="L225" s="57"/>
      <c r="M225" s="57"/>
      <c r="N225" s="45"/>
      <c r="O225" s="58"/>
      <c r="P225" s="56"/>
      <c r="Q225" s="57"/>
      <c r="R225" s="57"/>
      <c r="S225" s="57"/>
      <c r="T225" s="57"/>
      <c r="U225" s="57"/>
      <c r="V225" s="57"/>
      <c r="W225" s="45"/>
      <c r="X225" s="71"/>
      <c r="Y225" s="57"/>
      <c r="Z225" s="57"/>
      <c r="AA225" s="57"/>
      <c r="AB225" s="57"/>
      <c r="AC225" s="57"/>
      <c r="AD225" s="57"/>
      <c r="AE225" s="57"/>
      <c r="AF225" s="57"/>
      <c r="AG225" s="71"/>
      <c r="AH225" s="57"/>
      <c r="AI225" s="57"/>
      <c r="AJ225" s="57"/>
      <c r="AK225" s="57"/>
      <c r="AL225" s="57"/>
      <c r="AM225" s="57"/>
      <c r="AN225" s="57"/>
      <c r="AO225" s="57"/>
      <c r="AP225" s="71"/>
      <c r="AQ225" s="57"/>
      <c r="AR225" s="57"/>
      <c r="AS225" s="57"/>
      <c r="AT225" s="57"/>
      <c r="AU225" s="57"/>
      <c r="AV225" s="57"/>
      <c r="AW225" s="57"/>
      <c r="AX225" s="57"/>
      <c r="AY225" s="71"/>
      <c r="AZ225" s="57"/>
      <c r="BA225" s="55"/>
      <c r="BB225" s="55"/>
      <c r="BC225" s="55"/>
      <c r="BD225" s="55"/>
      <c r="BE225" s="55"/>
      <c r="BF225" s="55"/>
      <c r="BG225" s="57"/>
      <c r="BH225" s="65"/>
      <c r="BI225" s="55"/>
      <c r="BJ225" s="55"/>
      <c r="BK225" s="55"/>
      <c r="BL225" s="55"/>
      <c r="BM225" s="55"/>
      <c r="BN225" s="55"/>
      <c r="BO225" s="55"/>
      <c r="BP225" s="55"/>
      <c r="BQ225" s="65"/>
      <c r="BR225" s="55"/>
      <c r="BS225" s="55"/>
      <c r="BT225" s="55"/>
      <c r="BU225" s="55"/>
      <c r="BV225" s="55"/>
      <c r="BW225" s="55"/>
      <c r="BX225" s="55"/>
      <c r="BY225" s="55"/>
      <c r="BZ225" s="65"/>
      <c r="CA225" s="55"/>
      <c r="CB225" s="55"/>
      <c r="CC225" s="55"/>
      <c r="CD225" s="55"/>
      <c r="CE225" s="55"/>
      <c r="CF225" s="55"/>
      <c r="CG225" s="55"/>
      <c r="CH225" s="55"/>
      <c r="CI225" s="55"/>
    </row>
    <row r="226" spans="1:87">
      <c r="A226" s="12" t="str">
        <f>Roster!A226</f>
        <v/>
      </c>
      <c r="B226" s="28">
        <f>Roster!C226</f>
        <v>0</v>
      </c>
      <c r="C226" s="28" t="str">
        <f>IF(COUNTIFS(Table36103[[#This Row],[Continue Existing]:[Start New]], "TRUE")=0, "YES", "NO")</f>
        <v>YES</v>
      </c>
      <c r="D226" s="28" t="b">
        <f>COUNTIFS(Table36103[[#This Row],[Screening Results: Drug &amp; Alcohol Assessment 1]:[Other Reason 9]], "Continue with existing treatment services")&gt;0</f>
        <v>0</v>
      </c>
      <c r="E226" s="28" t="b">
        <f>COUNTIFS(Table36103[[#This Row],[Screening Results: Drug &amp; Alcohol Assessment 1]:[Other Reason 9]], "Start new service")&gt;0</f>
        <v>0</v>
      </c>
      <c r="F226" s="55"/>
      <c r="G226" s="56"/>
      <c r="H226" s="57"/>
      <c r="I226" s="57"/>
      <c r="J226" s="57"/>
      <c r="K226" s="57"/>
      <c r="L226" s="57"/>
      <c r="M226" s="57"/>
      <c r="N226" s="45"/>
      <c r="O226" s="58"/>
      <c r="P226" s="56"/>
      <c r="Q226" s="57"/>
      <c r="R226" s="57"/>
      <c r="S226" s="57"/>
      <c r="T226" s="57"/>
      <c r="U226" s="57"/>
      <c r="V226" s="57"/>
      <c r="W226" s="45"/>
      <c r="X226" s="71"/>
      <c r="Y226" s="57"/>
      <c r="Z226" s="57"/>
      <c r="AA226" s="57"/>
      <c r="AB226" s="57"/>
      <c r="AC226" s="57"/>
      <c r="AD226" s="57"/>
      <c r="AE226" s="57"/>
      <c r="AF226" s="57"/>
      <c r="AG226" s="71"/>
      <c r="AH226" s="57"/>
      <c r="AI226" s="57"/>
      <c r="AJ226" s="57"/>
      <c r="AK226" s="57"/>
      <c r="AL226" s="57"/>
      <c r="AM226" s="57"/>
      <c r="AN226" s="57"/>
      <c r="AO226" s="57"/>
      <c r="AP226" s="71"/>
      <c r="AQ226" s="57"/>
      <c r="AR226" s="57"/>
      <c r="AS226" s="57"/>
      <c r="AT226" s="57"/>
      <c r="AU226" s="57"/>
      <c r="AV226" s="57"/>
      <c r="AW226" s="57"/>
      <c r="AX226" s="57"/>
      <c r="AY226" s="71"/>
      <c r="AZ226" s="57"/>
      <c r="BA226" s="55"/>
      <c r="BB226" s="55"/>
      <c r="BC226" s="55"/>
      <c r="BD226" s="55"/>
      <c r="BE226" s="55"/>
      <c r="BF226" s="55"/>
      <c r="BG226" s="57"/>
      <c r="BH226" s="65"/>
      <c r="BI226" s="55"/>
      <c r="BJ226" s="55"/>
      <c r="BK226" s="55"/>
      <c r="BL226" s="55"/>
      <c r="BM226" s="55"/>
      <c r="BN226" s="55"/>
      <c r="BO226" s="55"/>
      <c r="BP226" s="55"/>
      <c r="BQ226" s="65"/>
      <c r="BR226" s="55"/>
      <c r="BS226" s="55"/>
      <c r="BT226" s="55"/>
      <c r="BU226" s="55"/>
      <c r="BV226" s="55"/>
      <c r="BW226" s="55"/>
      <c r="BX226" s="55"/>
      <c r="BY226" s="55"/>
      <c r="BZ226" s="65"/>
      <c r="CA226" s="55"/>
      <c r="CB226" s="55"/>
      <c r="CC226" s="55"/>
      <c r="CD226" s="55"/>
      <c r="CE226" s="55"/>
      <c r="CF226" s="55"/>
      <c r="CG226" s="55"/>
      <c r="CH226" s="55"/>
      <c r="CI226" s="55"/>
    </row>
    <row r="227" spans="1:87">
      <c r="A227" s="12" t="str">
        <f>Roster!A227</f>
        <v/>
      </c>
      <c r="B227" s="28">
        <f>Roster!C227</f>
        <v>0</v>
      </c>
      <c r="C227" s="28" t="str">
        <f>IF(COUNTIFS(Table36103[[#This Row],[Continue Existing]:[Start New]], "TRUE")=0, "YES", "NO")</f>
        <v>YES</v>
      </c>
      <c r="D227" s="28" t="b">
        <f>COUNTIFS(Table36103[[#This Row],[Screening Results: Drug &amp; Alcohol Assessment 1]:[Other Reason 9]], "Continue with existing treatment services")&gt;0</f>
        <v>0</v>
      </c>
      <c r="E227" s="28" t="b">
        <f>COUNTIFS(Table36103[[#This Row],[Screening Results: Drug &amp; Alcohol Assessment 1]:[Other Reason 9]], "Start new service")&gt;0</f>
        <v>0</v>
      </c>
      <c r="F227" s="55"/>
      <c r="G227" s="56"/>
      <c r="H227" s="57"/>
      <c r="I227" s="57"/>
      <c r="J227" s="57"/>
      <c r="K227" s="57"/>
      <c r="L227" s="57"/>
      <c r="M227" s="57"/>
      <c r="N227" s="45"/>
      <c r="O227" s="58"/>
      <c r="P227" s="56"/>
      <c r="Q227" s="57"/>
      <c r="R227" s="57"/>
      <c r="S227" s="57"/>
      <c r="T227" s="57"/>
      <c r="U227" s="57"/>
      <c r="V227" s="57"/>
      <c r="W227" s="45"/>
      <c r="X227" s="71"/>
      <c r="Y227" s="57"/>
      <c r="Z227" s="57"/>
      <c r="AA227" s="57"/>
      <c r="AB227" s="57"/>
      <c r="AC227" s="57"/>
      <c r="AD227" s="57"/>
      <c r="AE227" s="57"/>
      <c r="AF227" s="57"/>
      <c r="AG227" s="71"/>
      <c r="AH227" s="57"/>
      <c r="AI227" s="57"/>
      <c r="AJ227" s="57"/>
      <c r="AK227" s="57"/>
      <c r="AL227" s="57"/>
      <c r="AM227" s="57"/>
      <c r="AN227" s="57"/>
      <c r="AO227" s="57"/>
      <c r="AP227" s="71"/>
      <c r="AQ227" s="57"/>
      <c r="AR227" s="57"/>
      <c r="AS227" s="57"/>
      <c r="AT227" s="57"/>
      <c r="AU227" s="57"/>
      <c r="AV227" s="57"/>
      <c r="AW227" s="57"/>
      <c r="AX227" s="57"/>
      <c r="AY227" s="71"/>
      <c r="AZ227" s="57"/>
      <c r="BA227" s="55"/>
      <c r="BB227" s="55"/>
      <c r="BC227" s="55"/>
      <c r="BD227" s="55"/>
      <c r="BE227" s="55"/>
      <c r="BF227" s="55"/>
      <c r="BG227" s="57"/>
      <c r="BH227" s="65"/>
      <c r="BI227" s="55"/>
      <c r="BJ227" s="55"/>
      <c r="BK227" s="55"/>
      <c r="BL227" s="55"/>
      <c r="BM227" s="55"/>
      <c r="BN227" s="55"/>
      <c r="BO227" s="55"/>
      <c r="BP227" s="55"/>
      <c r="BQ227" s="65"/>
      <c r="BR227" s="55"/>
      <c r="BS227" s="55"/>
      <c r="BT227" s="55"/>
      <c r="BU227" s="55"/>
      <c r="BV227" s="55"/>
      <c r="BW227" s="55"/>
      <c r="BX227" s="55"/>
      <c r="BY227" s="55"/>
      <c r="BZ227" s="65"/>
      <c r="CA227" s="55"/>
      <c r="CB227" s="55"/>
      <c r="CC227" s="55"/>
      <c r="CD227" s="55"/>
      <c r="CE227" s="55"/>
      <c r="CF227" s="55"/>
      <c r="CG227" s="55"/>
      <c r="CH227" s="55"/>
      <c r="CI227" s="55"/>
    </row>
    <row r="228" spans="1:87">
      <c r="A228" s="12" t="str">
        <f>Roster!A228</f>
        <v/>
      </c>
      <c r="B228" s="28">
        <f>Roster!C228</f>
        <v>0</v>
      </c>
      <c r="C228" s="28" t="str">
        <f>IF(COUNTIFS(Table36103[[#This Row],[Continue Existing]:[Start New]], "TRUE")=0, "YES", "NO")</f>
        <v>YES</v>
      </c>
      <c r="D228" s="28" t="b">
        <f>COUNTIFS(Table36103[[#This Row],[Screening Results: Drug &amp; Alcohol Assessment 1]:[Other Reason 9]], "Continue with existing treatment services")&gt;0</f>
        <v>0</v>
      </c>
      <c r="E228" s="28" t="b">
        <f>COUNTIFS(Table36103[[#This Row],[Screening Results: Drug &amp; Alcohol Assessment 1]:[Other Reason 9]], "Start new service")&gt;0</f>
        <v>0</v>
      </c>
      <c r="F228" s="55"/>
      <c r="G228" s="56"/>
      <c r="H228" s="57"/>
      <c r="I228" s="57"/>
      <c r="J228" s="57"/>
      <c r="K228" s="57"/>
      <c r="L228" s="57"/>
      <c r="M228" s="57"/>
      <c r="N228" s="45"/>
      <c r="O228" s="58"/>
      <c r="P228" s="56"/>
      <c r="Q228" s="57"/>
      <c r="R228" s="57"/>
      <c r="S228" s="57"/>
      <c r="T228" s="57"/>
      <c r="U228" s="57"/>
      <c r="V228" s="57"/>
      <c r="W228" s="45"/>
      <c r="X228" s="71"/>
      <c r="Y228" s="57"/>
      <c r="Z228" s="57"/>
      <c r="AA228" s="57"/>
      <c r="AB228" s="57"/>
      <c r="AC228" s="57"/>
      <c r="AD228" s="57"/>
      <c r="AE228" s="57"/>
      <c r="AF228" s="57"/>
      <c r="AG228" s="71"/>
      <c r="AH228" s="57"/>
      <c r="AI228" s="57"/>
      <c r="AJ228" s="57"/>
      <c r="AK228" s="57"/>
      <c r="AL228" s="57"/>
      <c r="AM228" s="57"/>
      <c r="AN228" s="57"/>
      <c r="AO228" s="57"/>
      <c r="AP228" s="71"/>
      <c r="AQ228" s="57"/>
      <c r="AR228" s="57"/>
      <c r="AS228" s="57"/>
      <c r="AT228" s="57"/>
      <c r="AU228" s="57"/>
      <c r="AV228" s="57"/>
      <c r="AW228" s="57"/>
      <c r="AX228" s="57"/>
      <c r="AY228" s="71"/>
      <c r="AZ228" s="57"/>
      <c r="BA228" s="55"/>
      <c r="BB228" s="55"/>
      <c r="BC228" s="55"/>
      <c r="BD228" s="55"/>
      <c r="BE228" s="55"/>
      <c r="BF228" s="55"/>
      <c r="BG228" s="57"/>
      <c r="BH228" s="65"/>
      <c r="BI228" s="55"/>
      <c r="BJ228" s="55"/>
      <c r="BK228" s="55"/>
      <c r="BL228" s="55"/>
      <c r="BM228" s="55"/>
      <c r="BN228" s="55"/>
      <c r="BO228" s="55"/>
      <c r="BP228" s="55"/>
      <c r="BQ228" s="65"/>
      <c r="BR228" s="55"/>
      <c r="BS228" s="55"/>
      <c r="BT228" s="55"/>
      <c r="BU228" s="55"/>
      <c r="BV228" s="55"/>
      <c r="BW228" s="55"/>
      <c r="BX228" s="55"/>
      <c r="BY228" s="55"/>
      <c r="BZ228" s="65"/>
      <c r="CA228" s="55"/>
      <c r="CB228" s="55"/>
      <c r="CC228" s="55"/>
      <c r="CD228" s="55"/>
      <c r="CE228" s="55"/>
      <c r="CF228" s="55"/>
      <c r="CG228" s="55"/>
      <c r="CH228" s="55"/>
      <c r="CI228" s="55"/>
    </row>
    <row r="229" spans="1:87">
      <c r="A229" s="12" t="str">
        <f>Roster!A229</f>
        <v/>
      </c>
      <c r="B229" s="28">
        <f>Roster!C229</f>
        <v>0</v>
      </c>
      <c r="C229" s="28" t="str">
        <f>IF(COUNTIFS(Table36103[[#This Row],[Continue Existing]:[Start New]], "TRUE")=0, "YES", "NO")</f>
        <v>YES</v>
      </c>
      <c r="D229" s="28" t="b">
        <f>COUNTIFS(Table36103[[#This Row],[Screening Results: Drug &amp; Alcohol Assessment 1]:[Other Reason 9]], "Continue with existing treatment services")&gt;0</f>
        <v>0</v>
      </c>
      <c r="E229" s="28" t="b">
        <f>COUNTIFS(Table36103[[#This Row],[Screening Results: Drug &amp; Alcohol Assessment 1]:[Other Reason 9]], "Start new service")&gt;0</f>
        <v>0</v>
      </c>
      <c r="F229" s="55"/>
      <c r="G229" s="56"/>
      <c r="H229" s="57"/>
      <c r="I229" s="57"/>
      <c r="J229" s="57"/>
      <c r="K229" s="57"/>
      <c r="L229" s="57"/>
      <c r="M229" s="57"/>
      <c r="N229" s="45"/>
      <c r="O229" s="58"/>
      <c r="P229" s="56"/>
      <c r="Q229" s="57"/>
      <c r="R229" s="57"/>
      <c r="S229" s="57"/>
      <c r="T229" s="57"/>
      <c r="U229" s="57"/>
      <c r="V229" s="57"/>
      <c r="W229" s="45"/>
      <c r="X229" s="71"/>
      <c r="Y229" s="57"/>
      <c r="Z229" s="57"/>
      <c r="AA229" s="57"/>
      <c r="AB229" s="57"/>
      <c r="AC229" s="57"/>
      <c r="AD229" s="57"/>
      <c r="AE229" s="57"/>
      <c r="AF229" s="57"/>
      <c r="AG229" s="71"/>
      <c r="AH229" s="57"/>
      <c r="AI229" s="57"/>
      <c r="AJ229" s="57"/>
      <c r="AK229" s="57"/>
      <c r="AL229" s="57"/>
      <c r="AM229" s="57"/>
      <c r="AN229" s="57"/>
      <c r="AO229" s="57"/>
      <c r="AP229" s="71"/>
      <c r="AQ229" s="57"/>
      <c r="AR229" s="57"/>
      <c r="AS229" s="57"/>
      <c r="AT229" s="57"/>
      <c r="AU229" s="57"/>
      <c r="AV229" s="57"/>
      <c r="AW229" s="57"/>
      <c r="AX229" s="57"/>
      <c r="AY229" s="71"/>
      <c r="AZ229" s="57"/>
      <c r="BA229" s="55"/>
      <c r="BB229" s="55"/>
      <c r="BC229" s="55"/>
      <c r="BD229" s="55"/>
      <c r="BE229" s="55"/>
      <c r="BF229" s="55"/>
      <c r="BG229" s="57"/>
      <c r="BH229" s="65"/>
      <c r="BI229" s="55"/>
      <c r="BJ229" s="55"/>
      <c r="BK229" s="55"/>
      <c r="BL229" s="55"/>
      <c r="BM229" s="55"/>
      <c r="BN229" s="55"/>
      <c r="BO229" s="55"/>
      <c r="BP229" s="55"/>
      <c r="BQ229" s="65"/>
      <c r="BR229" s="55"/>
      <c r="BS229" s="55"/>
      <c r="BT229" s="55"/>
      <c r="BU229" s="55"/>
      <c r="BV229" s="55"/>
      <c r="BW229" s="55"/>
      <c r="BX229" s="55"/>
      <c r="BY229" s="55"/>
      <c r="BZ229" s="65"/>
      <c r="CA229" s="55"/>
      <c r="CB229" s="55"/>
      <c r="CC229" s="55"/>
      <c r="CD229" s="55"/>
      <c r="CE229" s="55"/>
      <c r="CF229" s="55"/>
      <c r="CG229" s="55"/>
      <c r="CH229" s="55"/>
      <c r="CI229" s="55"/>
    </row>
    <row r="230" spans="1:87">
      <c r="A230" s="12" t="str">
        <f>Roster!A230</f>
        <v/>
      </c>
      <c r="B230" s="28">
        <f>Roster!C230</f>
        <v>0</v>
      </c>
      <c r="C230" s="28" t="str">
        <f>IF(COUNTIFS(Table36103[[#This Row],[Continue Existing]:[Start New]], "TRUE")=0, "YES", "NO")</f>
        <v>YES</v>
      </c>
      <c r="D230" s="28" t="b">
        <f>COUNTIFS(Table36103[[#This Row],[Screening Results: Drug &amp; Alcohol Assessment 1]:[Other Reason 9]], "Continue with existing treatment services")&gt;0</f>
        <v>0</v>
      </c>
      <c r="E230" s="28" t="b">
        <f>COUNTIFS(Table36103[[#This Row],[Screening Results: Drug &amp; Alcohol Assessment 1]:[Other Reason 9]], "Start new service")&gt;0</f>
        <v>0</v>
      </c>
      <c r="F230" s="55"/>
      <c r="G230" s="56"/>
      <c r="H230" s="57"/>
      <c r="I230" s="57"/>
      <c r="J230" s="57"/>
      <c r="K230" s="57"/>
      <c r="L230" s="57"/>
      <c r="M230" s="57"/>
      <c r="N230" s="45"/>
      <c r="O230" s="58"/>
      <c r="P230" s="56"/>
      <c r="Q230" s="57"/>
      <c r="R230" s="57"/>
      <c r="S230" s="57"/>
      <c r="T230" s="57"/>
      <c r="U230" s="57"/>
      <c r="V230" s="57"/>
      <c r="W230" s="45"/>
      <c r="X230" s="71"/>
      <c r="Y230" s="57"/>
      <c r="Z230" s="57"/>
      <c r="AA230" s="57"/>
      <c r="AB230" s="57"/>
      <c r="AC230" s="57"/>
      <c r="AD230" s="57"/>
      <c r="AE230" s="57"/>
      <c r="AF230" s="57"/>
      <c r="AG230" s="71"/>
      <c r="AH230" s="57"/>
      <c r="AI230" s="57"/>
      <c r="AJ230" s="57"/>
      <c r="AK230" s="57"/>
      <c r="AL230" s="57"/>
      <c r="AM230" s="57"/>
      <c r="AN230" s="57"/>
      <c r="AO230" s="57"/>
      <c r="AP230" s="71"/>
      <c r="AQ230" s="57"/>
      <c r="AR230" s="57"/>
      <c r="AS230" s="57"/>
      <c r="AT230" s="57"/>
      <c r="AU230" s="57"/>
      <c r="AV230" s="57"/>
      <c r="AW230" s="57"/>
      <c r="AX230" s="57"/>
      <c r="AY230" s="71"/>
      <c r="AZ230" s="57"/>
      <c r="BA230" s="55"/>
      <c r="BB230" s="55"/>
      <c r="BC230" s="55"/>
      <c r="BD230" s="55"/>
      <c r="BE230" s="55"/>
      <c r="BF230" s="55"/>
      <c r="BG230" s="57"/>
      <c r="BH230" s="65"/>
      <c r="BI230" s="55"/>
      <c r="BJ230" s="55"/>
      <c r="BK230" s="55"/>
      <c r="BL230" s="55"/>
      <c r="BM230" s="55"/>
      <c r="BN230" s="55"/>
      <c r="BO230" s="55"/>
      <c r="BP230" s="55"/>
      <c r="BQ230" s="65"/>
      <c r="BR230" s="55"/>
      <c r="BS230" s="55"/>
      <c r="BT230" s="55"/>
      <c r="BU230" s="55"/>
      <c r="BV230" s="55"/>
      <c r="BW230" s="55"/>
      <c r="BX230" s="55"/>
      <c r="BY230" s="55"/>
      <c r="BZ230" s="65"/>
      <c r="CA230" s="55"/>
      <c r="CB230" s="55"/>
      <c r="CC230" s="55"/>
      <c r="CD230" s="55"/>
      <c r="CE230" s="55"/>
      <c r="CF230" s="55"/>
      <c r="CG230" s="55"/>
      <c r="CH230" s="55"/>
      <c r="CI230" s="55"/>
    </row>
    <row r="231" spans="1:87">
      <c r="A231" s="12" t="str">
        <f>Roster!A231</f>
        <v/>
      </c>
      <c r="B231" s="28">
        <f>Roster!C231</f>
        <v>0</v>
      </c>
      <c r="C231" s="28" t="str">
        <f>IF(COUNTIFS(Table36103[[#This Row],[Continue Existing]:[Start New]], "TRUE")=0, "YES", "NO")</f>
        <v>YES</v>
      </c>
      <c r="D231" s="28" t="b">
        <f>COUNTIFS(Table36103[[#This Row],[Screening Results: Drug &amp; Alcohol Assessment 1]:[Other Reason 9]], "Continue with existing treatment services")&gt;0</f>
        <v>0</v>
      </c>
      <c r="E231" s="28" t="b">
        <f>COUNTIFS(Table36103[[#This Row],[Screening Results: Drug &amp; Alcohol Assessment 1]:[Other Reason 9]], "Start new service")&gt;0</f>
        <v>0</v>
      </c>
      <c r="F231" s="55"/>
      <c r="G231" s="56"/>
      <c r="H231" s="57"/>
      <c r="I231" s="57"/>
      <c r="J231" s="57"/>
      <c r="K231" s="57"/>
      <c r="L231" s="57"/>
      <c r="M231" s="57"/>
      <c r="N231" s="45"/>
      <c r="O231" s="58"/>
      <c r="P231" s="56"/>
      <c r="Q231" s="57"/>
      <c r="R231" s="57"/>
      <c r="S231" s="57"/>
      <c r="T231" s="57"/>
      <c r="U231" s="57"/>
      <c r="V231" s="57"/>
      <c r="W231" s="45"/>
      <c r="X231" s="71"/>
      <c r="Y231" s="57"/>
      <c r="Z231" s="57"/>
      <c r="AA231" s="57"/>
      <c r="AB231" s="57"/>
      <c r="AC231" s="57"/>
      <c r="AD231" s="57"/>
      <c r="AE231" s="57"/>
      <c r="AF231" s="57"/>
      <c r="AG231" s="71"/>
      <c r="AH231" s="57"/>
      <c r="AI231" s="57"/>
      <c r="AJ231" s="57"/>
      <c r="AK231" s="57"/>
      <c r="AL231" s="57"/>
      <c r="AM231" s="57"/>
      <c r="AN231" s="57"/>
      <c r="AO231" s="57"/>
      <c r="AP231" s="71"/>
      <c r="AQ231" s="57"/>
      <c r="AR231" s="57"/>
      <c r="AS231" s="57"/>
      <c r="AT231" s="57"/>
      <c r="AU231" s="57"/>
      <c r="AV231" s="57"/>
      <c r="AW231" s="57"/>
      <c r="AX231" s="57"/>
      <c r="AY231" s="71"/>
      <c r="AZ231" s="57"/>
      <c r="BA231" s="55"/>
      <c r="BB231" s="55"/>
      <c r="BC231" s="55"/>
      <c r="BD231" s="55"/>
      <c r="BE231" s="55"/>
      <c r="BF231" s="55"/>
      <c r="BG231" s="57"/>
      <c r="BH231" s="65"/>
      <c r="BI231" s="55"/>
      <c r="BJ231" s="55"/>
      <c r="BK231" s="55"/>
      <c r="BL231" s="55"/>
      <c r="BM231" s="55"/>
      <c r="BN231" s="55"/>
      <c r="BO231" s="55"/>
      <c r="BP231" s="55"/>
      <c r="BQ231" s="65"/>
      <c r="BR231" s="55"/>
      <c r="BS231" s="55"/>
      <c r="BT231" s="55"/>
      <c r="BU231" s="55"/>
      <c r="BV231" s="55"/>
      <c r="BW231" s="55"/>
      <c r="BX231" s="55"/>
      <c r="BY231" s="55"/>
      <c r="BZ231" s="65"/>
      <c r="CA231" s="55"/>
      <c r="CB231" s="55"/>
      <c r="CC231" s="55"/>
      <c r="CD231" s="55"/>
      <c r="CE231" s="55"/>
      <c r="CF231" s="55"/>
      <c r="CG231" s="55"/>
      <c r="CH231" s="55"/>
      <c r="CI231" s="55"/>
    </row>
    <row r="232" spans="1:87">
      <c r="A232" s="12" t="str">
        <f>Roster!A232</f>
        <v/>
      </c>
      <c r="B232" s="28">
        <f>Roster!C232</f>
        <v>0</v>
      </c>
      <c r="C232" s="28" t="str">
        <f>IF(COUNTIFS(Table36103[[#This Row],[Continue Existing]:[Start New]], "TRUE")=0, "YES", "NO")</f>
        <v>YES</v>
      </c>
      <c r="D232" s="28" t="b">
        <f>COUNTIFS(Table36103[[#This Row],[Screening Results: Drug &amp; Alcohol Assessment 1]:[Other Reason 9]], "Continue with existing treatment services")&gt;0</f>
        <v>0</v>
      </c>
      <c r="E232" s="28" t="b">
        <f>COUNTIFS(Table36103[[#This Row],[Screening Results: Drug &amp; Alcohol Assessment 1]:[Other Reason 9]], "Start new service")&gt;0</f>
        <v>0</v>
      </c>
      <c r="F232" s="55"/>
      <c r="G232" s="56"/>
      <c r="H232" s="57"/>
      <c r="I232" s="57"/>
      <c r="J232" s="57"/>
      <c r="K232" s="57"/>
      <c r="L232" s="57"/>
      <c r="M232" s="57"/>
      <c r="N232" s="45"/>
      <c r="O232" s="58"/>
      <c r="P232" s="56"/>
      <c r="Q232" s="57"/>
      <c r="R232" s="57"/>
      <c r="S232" s="57"/>
      <c r="T232" s="57"/>
      <c r="U232" s="57"/>
      <c r="V232" s="57"/>
      <c r="W232" s="45"/>
      <c r="X232" s="71"/>
      <c r="Y232" s="57"/>
      <c r="Z232" s="57"/>
      <c r="AA232" s="57"/>
      <c r="AB232" s="57"/>
      <c r="AC232" s="57"/>
      <c r="AD232" s="57"/>
      <c r="AE232" s="57"/>
      <c r="AF232" s="57"/>
      <c r="AG232" s="71"/>
      <c r="AH232" s="57"/>
      <c r="AI232" s="57"/>
      <c r="AJ232" s="57"/>
      <c r="AK232" s="57"/>
      <c r="AL232" s="57"/>
      <c r="AM232" s="57"/>
      <c r="AN232" s="57"/>
      <c r="AO232" s="57"/>
      <c r="AP232" s="71"/>
      <c r="AQ232" s="57"/>
      <c r="AR232" s="57"/>
      <c r="AS232" s="57"/>
      <c r="AT232" s="57"/>
      <c r="AU232" s="57"/>
      <c r="AV232" s="57"/>
      <c r="AW232" s="57"/>
      <c r="AX232" s="57"/>
      <c r="AY232" s="71"/>
      <c r="AZ232" s="57"/>
      <c r="BA232" s="55"/>
      <c r="BB232" s="55"/>
      <c r="BC232" s="55"/>
      <c r="BD232" s="55"/>
      <c r="BE232" s="55"/>
      <c r="BF232" s="55"/>
      <c r="BG232" s="57"/>
      <c r="BH232" s="65"/>
      <c r="BI232" s="55"/>
      <c r="BJ232" s="55"/>
      <c r="BK232" s="55"/>
      <c r="BL232" s="55"/>
      <c r="BM232" s="55"/>
      <c r="BN232" s="55"/>
      <c r="BO232" s="55"/>
      <c r="BP232" s="55"/>
      <c r="BQ232" s="65"/>
      <c r="BR232" s="55"/>
      <c r="BS232" s="55"/>
      <c r="BT232" s="55"/>
      <c r="BU232" s="55"/>
      <c r="BV232" s="55"/>
      <c r="BW232" s="55"/>
      <c r="BX232" s="55"/>
      <c r="BY232" s="55"/>
      <c r="BZ232" s="65"/>
      <c r="CA232" s="55"/>
      <c r="CB232" s="55"/>
      <c r="CC232" s="55"/>
      <c r="CD232" s="55"/>
      <c r="CE232" s="55"/>
      <c r="CF232" s="55"/>
      <c r="CG232" s="55"/>
      <c r="CH232" s="55"/>
      <c r="CI232" s="55"/>
    </row>
    <row r="233" spans="1:87">
      <c r="A233" s="12" t="str">
        <f>Roster!A233</f>
        <v/>
      </c>
      <c r="B233" s="28">
        <f>Roster!C233</f>
        <v>0</v>
      </c>
      <c r="C233" s="28" t="str">
        <f>IF(COUNTIFS(Table36103[[#This Row],[Continue Existing]:[Start New]], "TRUE")=0, "YES", "NO")</f>
        <v>YES</v>
      </c>
      <c r="D233" s="28" t="b">
        <f>COUNTIFS(Table36103[[#This Row],[Screening Results: Drug &amp; Alcohol Assessment 1]:[Other Reason 9]], "Continue with existing treatment services")&gt;0</f>
        <v>0</v>
      </c>
      <c r="E233" s="28" t="b">
        <f>COUNTIFS(Table36103[[#This Row],[Screening Results: Drug &amp; Alcohol Assessment 1]:[Other Reason 9]], "Start new service")&gt;0</f>
        <v>0</v>
      </c>
      <c r="F233" s="55"/>
      <c r="G233" s="56"/>
      <c r="H233" s="57"/>
      <c r="I233" s="57"/>
      <c r="J233" s="57"/>
      <c r="K233" s="57"/>
      <c r="L233" s="57"/>
      <c r="M233" s="57"/>
      <c r="N233" s="45"/>
      <c r="O233" s="58"/>
      <c r="P233" s="56"/>
      <c r="Q233" s="57"/>
      <c r="R233" s="57"/>
      <c r="S233" s="57"/>
      <c r="T233" s="57"/>
      <c r="U233" s="57"/>
      <c r="V233" s="57"/>
      <c r="W233" s="45"/>
      <c r="X233" s="71"/>
      <c r="Y233" s="57"/>
      <c r="Z233" s="57"/>
      <c r="AA233" s="57"/>
      <c r="AB233" s="57"/>
      <c r="AC233" s="57"/>
      <c r="AD233" s="57"/>
      <c r="AE233" s="57"/>
      <c r="AF233" s="57"/>
      <c r="AG233" s="71"/>
      <c r="AH233" s="57"/>
      <c r="AI233" s="57"/>
      <c r="AJ233" s="57"/>
      <c r="AK233" s="57"/>
      <c r="AL233" s="57"/>
      <c r="AM233" s="57"/>
      <c r="AN233" s="57"/>
      <c r="AO233" s="57"/>
      <c r="AP233" s="71"/>
      <c r="AQ233" s="57"/>
      <c r="AR233" s="57"/>
      <c r="AS233" s="57"/>
      <c r="AT233" s="57"/>
      <c r="AU233" s="57"/>
      <c r="AV233" s="57"/>
      <c r="AW233" s="57"/>
      <c r="AX233" s="57"/>
      <c r="AY233" s="71"/>
      <c r="AZ233" s="57"/>
      <c r="BA233" s="55"/>
      <c r="BB233" s="55"/>
      <c r="BC233" s="55"/>
      <c r="BD233" s="55"/>
      <c r="BE233" s="55"/>
      <c r="BF233" s="55"/>
      <c r="BG233" s="57"/>
      <c r="BH233" s="65"/>
      <c r="BI233" s="55"/>
      <c r="BJ233" s="55"/>
      <c r="BK233" s="55"/>
      <c r="BL233" s="55"/>
      <c r="BM233" s="55"/>
      <c r="BN233" s="55"/>
      <c r="BO233" s="55"/>
      <c r="BP233" s="55"/>
      <c r="BQ233" s="65"/>
      <c r="BR233" s="55"/>
      <c r="BS233" s="55"/>
      <c r="BT233" s="55"/>
      <c r="BU233" s="55"/>
      <c r="BV233" s="55"/>
      <c r="BW233" s="55"/>
      <c r="BX233" s="55"/>
      <c r="BY233" s="55"/>
      <c r="BZ233" s="65"/>
      <c r="CA233" s="55"/>
      <c r="CB233" s="55"/>
      <c r="CC233" s="55"/>
      <c r="CD233" s="55"/>
      <c r="CE233" s="55"/>
      <c r="CF233" s="55"/>
      <c r="CG233" s="55"/>
      <c r="CH233" s="55"/>
      <c r="CI233" s="55"/>
    </row>
    <row r="234" spans="1:87">
      <c r="A234" s="12" t="str">
        <f>Roster!A234</f>
        <v/>
      </c>
      <c r="B234" s="28">
        <f>Roster!C234</f>
        <v>0</v>
      </c>
      <c r="C234" s="28" t="str">
        <f>IF(COUNTIFS(Table36103[[#This Row],[Continue Existing]:[Start New]], "TRUE")=0, "YES", "NO")</f>
        <v>YES</v>
      </c>
      <c r="D234" s="28" t="b">
        <f>COUNTIFS(Table36103[[#This Row],[Screening Results: Drug &amp; Alcohol Assessment 1]:[Other Reason 9]], "Continue with existing treatment services")&gt;0</f>
        <v>0</v>
      </c>
      <c r="E234" s="28" t="b">
        <f>COUNTIFS(Table36103[[#This Row],[Screening Results: Drug &amp; Alcohol Assessment 1]:[Other Reason 9]], "Start new service")&gt;0</f>
        <v>0</v>
      </c>
      <c r="F234" s="55"/>
      <c r="G234" s="56"/>
      <c r="H234" s="57"/>
      <c r="I234" s="57"/>
      <c r="J234" s="57"/>
      <c r="K234" s="57"/>
      <c r="L234" s="57"/>
      <c r="M234" s="57"/>
      <c r="N234" s="45"/>
      <c r="O234" s="58"/>
      <c r="P234" s="56"/>
      <c r="Q234" s="57"/>
      <c r="R234" s="57"/>
      <c r="S234" s="57"/>
      <c r="T234" s="57"/>
      <c r="U234" s="57"/>
      <c r="V234" s="57"/>
      <c r="W234" s="45"/>
      <c r="X234" s="71"/>
      <c r="Y234" s="57"/>
      <c r="Z234" s="57"/>
      <c r="AA234" s="57"/>
      <c r="AB234" s="57"/>
      <c r="AC234" s="57"/>
      <c r="AD234" s="57"/>
      <c r="AE234" s="57"/>
      <c r="AF234" s="57"/>
      <c r="AG234" s="71"/>
      <c r="AH234" s="57"/>
      <c r="AI234" s="57"/>
      <c r="AJ234" s="57"/>
      <c r="AK234" s="57"/>
      <c r="AL234" s="57"/>
      <c r="AM234" s="57"/>
      <c r="AN234" s="57"/>
      <c r="AO234" s="57"/>
      <c r="AP234" s="71"/>
      <c r="AQ234" s="57"/>
      <c r="AR234" s="57"/>
      <c r="AS234" s="57"/>
      <c r="AT234" s="57"/>
      <c r="AU234" s="57"/>
      <c r="AV234" s="57"/>
      <c r="AW234" s="57"/>
      <c r="AX234" s="57"/>
      <c r="AY234" s="71"/>
      <c r="AZ234" s="57"/>
      <c r="BA234" s="55"/>
      <c r="BB234" s="55"/>
      <c r="BC234" s="55"/>
      <c r="BD234" s="55"/>
      <c r="BE234" s="55"/>
      <c r="BF234" s="55"/>
      <c r="BG234" s="57"/>
      <c r="BH234" s="65"/>
      <c r="BI234" s="55"/>
      <c r="BJ234" s="55"/>
      <c r="BK234" s="55"/>
      <c r="BL234" s="55"/>
      <c r="BM234" s="55"/>
      <c r="BN234" s="55"/>
      <c r="BO234" s="55"/>
      <c r="BP234" s="55"/>
      <c r="BQ234" s="65"/>
      <c r="BR234" s="55"/>
      <c r="BS234" s="55"/>
      <c r="BT234" s="55"/>
      <c r="BU234" s="55"/>
      <c r="BV234" s="55"/>
      <c r="BW234" s="55"/>
      <c r="BX234" s="55"/>
      <c r="BY234" s="55"/>
      <c r="BZ234" s="65"/>
      <c r="CA234" s="55"/>
      <c r="CB234" s="55"/>
      <c r="CC234" s="55"/>
      <c r="CD234" s="55"/>
      <c r="CE234" s="55"/>
      <c r="CF234" s="55"/>
      <c r="CG234" s="55"/>
      <c r="CH234" s="55"/>
      <c r="CI234" s="55"/>
    </row>
    <row r="235" spans="1:87">
      <c r="A235" s="12" t="str">
        <f>Roster!A235</f>
        <v/>
      </c>
      <c r="B235" s="28">
        <f>Roster!C235</f>
        <v>0</v>
      </c>
      <c r="C235" s="28" t="str">
        <f>IF(COUNTIFS(Table36103[[#This Row],[Continue Existing]:[Start New]], "TRUE")=0, "YES", "NO")</f>
        <v>YES</v>
      </c>
      <c r="D235" s="28" t="b">
        <f>COUNTIFS(Table36103[[#This Row],[Screening Results: Drug &amp; Alcohol Assessment 1]:[Other Reason 9]], "Continue with existing treatment services")&gt;0</f>
        <v>0</v>
      </c>
      <c r="E235" s="28" t="b">
        <f>COUNTIFS(Table36103[[#This Row],[Screening Results: Drug &amp; Alcohol Assessment 1]:[Other Reason 9]], "Start new service")&gt;0</f>
        <v>0</v>
      </c>
      <c r="F235" s="55"/>
      <c r="G235" s="56"/>
      <c r="H235" s="57"/>
      <c r="I235" s="57"/>
      <c r="J235" s="57"/>
      <c r="K235" s="57"/>
      <c r="L235" s="57"/>
      <c r="M235" s="57"/>
      <c r="N235" s="45"/>
      <c r="O235" s="58"/>
      <c r="P235" s="56"/>
      <c r="Q235" s="57"/>
      <c r="R235" s="57"/>
      <c r="S235" s="57"/>
      <c r="T235" s="57"/>
      <c r="U235" s="57"/>
      <c r="V235" s="57"/>
      <c r="W235" s="45"/>
      <c r="X235" s="71"/>
      <c r="Y235" s="57"/>
      <c r="Z235" s="57"/>
      <c r="AA235" s="57"/>
      <c r="AB235" s="57"/>
      <c r="AC235" s="57"/>
      <c r="AD235" s="57"/>
      <c r="AE235" s="57"/>
      <c r="AF235" s="57"/>
      <c r="AG235" s="71"/>
      <c r="AH235" s="57"/>
      <c r="AI235" s="57"/>
      <c r="AJ235" s="57"/>
      <c r="AK235" s="57"/>
      <c r="AL235" s="57"/>
      <c r="AM235" s="57"/>
      <c r="AN235" s="57"/>
      <c r="AO235" s="57"/>
      <c r="AP235" s="71"/>
      <c r="AQ235" s="57"/>
      <c r="AR235" s="57"/>
      <c r="AS235" s="57"/>
      <c r="AT235" s="57"/>
      <c r="AU235" s="57"/>
      <c r="AV235" s="57"/>
      <c r="AW235" s="57"/>
      <c r="AX235" s="57"/>
      <c r="AY235" s="71"/>
      <c r="AZ235" s="57"/>
      <c r="BA235" s="55"/>
      <c r="BB235" s="55"/>
      <c r="BC235" s="55"/>
      <c r="BD235" s="55"/>
      <c r="BE235" s="55"/>
      <c r="BF235" s="55"/>
      <c r="BG235" s="57"/>
      <c r="BH235" s="65"/>
      <c r="BI235" s="55"/>
      <c r="BJ235" s="55"/>
      <c r="BK235" s="55"/>
      <c r="BL235" s="55"/>
      <c r="BM235" s="55"/>
      <c r="BN235" s="55"/>
      <c r="BO235" s="55"/>
      <c r="BP235" s="55"/>
      <c r="BQ235" s="65"/>
      <c r="BR235" s="55"/>
      <c r="BS235" s="55"/>
      <c r="BT235" s="55"/>
      <c r="BU235" s="55"/>
      <c r="BV235" s="55"/>
      <c r="BW235" s="55"/>
      <c r="BX235" s="55"/>
      <c r="BY235" s="55"/>
      <c r="BZ235" s="65"/>
      <c r="CA235" s="55"/>
      <c r="CB235" s="55"/>
      <c r="CC235" s="55"/>
      <c r="CD235" s="55"/>
      <c r="CE235" s="55"/>
      <c r="CF235" s="55"/>
      <c r="CG235" s="55"/>
      <c r="CH235" s="55"/>
      <c r="CI235" s="55"/>
    </row>
    <row r="236" spans="1:87">
      <c r="A236" s="12" t="str">
        <f>Roster!A236</f>
        <v/>
      </c>
      <c r="B236" s="28">
        <f>Roster!C236</f>
        <v>0</v>
      </c>
      <c r="C236" s="28" t="str">
        <f>IF(COUNTIFS(Table36103[[#This Row],[Continue Existing]:[Start New]], "TRUE")=0, "YES", "NO")</f>
        <v>YES</v>
      </c>
      <c r="D236" s="28" t="b">
        <f>COUNTIFS(Table36103[[#This Row],[Screening Results: Drug &amp; Alcohol Assessment 1]:[Other Reason 9]], "Continue with existing treatment services")&gt;0</f>
        <v>0</v>
      </c>
      <c r="E236" s="28" t="b">
        <f>COUNTIFS(Table36103[[#This Row],[Screening Results: Drug &amp; Alcohol Assessment 1]:[Other Reason 9]], "Start new service")&gt;0</f>
        <v>0</v>
      </c>
      <c r="F236" s="55"/>
      <c r="G236" s="56"/>
      <c r="H236" s="57"/>
      <c r="I236" s="57"/>
      <c r="J236" s="57"/>
      <c r="K236" s="57"/>
      <c r="L236" s="57"/>
      <c r="M236" s="57"/>
      <c r="N236" s="45"/>
      <c r="O236" s="58"/>
      <c r="P236" s="56"/>
      <c r="Q236" s="57"/>
      <c r="R236" s="57"/>
      <c r="S236" s="57"/>
      <c r="T236" s="57"/>
      <c r="U236" s="57"/>
      <c r="V236" s="57"/>
      <c r="W236" s="45"/>
      <c r="X236" s="71"/>
      <c r="Y236" s="57"/>
      <c r="Z236" s="57"/>
      <c r="AA236" s="57"/>
      <c r="AB236" s="57"/>
      <c r="AC236" s="57"/>
      <c r="AD236" s="57"/>
      <c r="AE236" s="57"/>
      <c r="AF236" s="57"/>
      <c r="AG236" s="71"/>
      <c r="AH236" s="57"/>
      <c r="AI236" s="57"/>
      <c r="AJ236" s="57"/>
      <c r="AK236" s="57"/>
      <c r="AL236" s="57"/>
      <c r="AM236" s="57"/>
      <c r="AN236" s="57"/>
      <c r="AO236" s="57"/>
      <c r="AP236" s="71"/>
      <c r="AQ236" s="57"/>
      <c r="AR236" s="57"/>
      <c r="AS236" s="57"/>
      <c r="AT236" s="57"/>
      <c r="AU236" s="57"/>
      <c r="AV236" s="57"/>
      <c r="AW236" s="57"/>
      <c r="AX236" s="57"/>
      <c r="AY236" s="71"/>
      <c r="AZ236" s="57"/>
      <c r="BA236" s="55"/>
      <c r="BB236" s="55"/>
      <c r="BC236" s="55"/>
      <c r="BD236" s="55"/>
      <c r="BE236" s="55"/>
      <c r="BF236" s="55"/>
      <c r="BG236" s="57"/>
      <c r="BH236" s="65"/>
      <c r="BI236" s="55"/>
      <c r="BJ236" s="55"/>
      <c r="BK236" s="55"/>
      <c r="BL236" s="55"/>
      <c r="BM236" s="55"/>
      <c r="BN236" s="55"/>
      <c r="BO236" s="55"/>
      <c r="BP236" s="55"/>
      <c r="BQ236" s="65"/>
      <c r="BR236" s="55"/>
      <c r="BS236" s="55"/>
      <c r="BT236" s="55"/>
      <c r="BU236" s="55"/>
      <c r="BV236" s="55"/>
      <c r="BW236" s="55"/>
      <c r="BX236" s="55"/>
      <c r="BY236" s="55"/>
      <c r="BZ236" s="65"/>
      <c r="CA236" s="55"/>
      <c r="CB236" s="55"/>
      <c r="CC236" s="55"/>
      <c r="CD236" s="55"/>
      <c r="CE236" s="55"/>
      <c r="CF236" s="55"/>
      <c r="CG236" s="55"/>
      <c r="CH236" s="55"/>
      <c r="CI236" s="55"/>
    </row>
    <row r="237" spans="1:87">
      <c r="A237" s="12" t="str">
        <f>Roster!A237</f>
        <v/>
      </c>
      <c r="B237" s="28">
        <f>Roster!C237</f>
        <v>0</v>
      </c>
      <c r="C237" s="28" t="str">
        <f>IF(COUNTIFS(Table36103[[#This Row],[Continue Existing]:[Start New]], "TRUE")=0, "YES", "NO")</f>
        <v>YES</v>
      </c>
      <c r="D237" s="28" t="b">
        <f>COUNTIFS(Table36103[[#This Row],[Screening Results: Drug &amp; Alcohol Assessment 1]:[Other Reason 9]], "Continue with existing treatment services")&gt;0</f>
        <v>0</v>
      </c>
      <c r="E237" s="28" t="b">
        <f>COUNTIFS(Table36103[[#This Row],[Screening Results: Drug &amp; Alcohol Assessment 1]:[Other Reason 9]], "Start new service")&gt;0</f>
        <v>0</v>
      </c>
      <c r="F237" s="55"/>
      <c r="G237" s="56"/>
      <c r="H237" s="57"/>
      <c r="I237" s="57"/>
      <c r="J237" s="57"/>
      <c r="K237" s="57"/>
      <c r="L237" s="57"/>
      <c r="M237" s="57"/>
      <c r="N237" s="45"/>
      <c r="O237" s="58"/>
      <c r="P237" s="56"/>
      <c r="Q237" s="57"/>
      <c r="R237" s="57"/>
      <c r="S237" s="57"/>
      <c r="T237" s="57"/>
      <c r="U237" s="57"/>
      <c r="V237" s="57"/>
      <c r="W237" s="45"/>
      <c r="X237" s="71"/>
      <c r="Y237" s="57"/>
      <c r="Z237" s="57"/>
      <c r="AA237" s="57"/>
      <c r="AB237" s="57"/>
      <c r="AC237" s="57"/>
      <c r="AD237" s="57"/>
      <c r="AE237" s="57"/>
      <c r="AF237" s="57"/>
      <c r="AG237" s="71"/>
      <c r="AH237" s="57"/>
      <c r="AI237" s="57"/>
      <c r="AJ237" s="57"/>
      <c r="AK237" s="57"/>
      <c r="AL237" s="57"/>
      <c r="AM237" s="57"/>
      <c r="AN237" s="57"/>
      <c r="AO237" s="57"/>
      <c r="AP237" s="71"/>
      <c r="AQ237" s="57"/>
      <c r="AR237" s="57"/>
      <c r="AS237" s="57"/>
      <c r="AT237" s="57"/>
      <c r="AU237" s="57"/>
      <c r="AV237" s="57"/>
      <c r="AW237" s="57"/>
      <c r="AX237" s="57"/>
      <c r="AY237" s="71"/>
      <c r="AZ237" s="57"/>
      <c r="BA237" s="55"/>
      <c r="BB237" s="55"/>
      <c r="BC237" s="55"/>
      <c r="BD237" s="55"/>
      <c r="BE237" s="55"/>
      <c r="BF237" s="55"/>
      <c r="BG237" s="57"/>
      <c r="BH237" s="65"/>
      <c r="BI237" s="55"/>
      <c r="BJ237" s="55"/>
      <c r="BK237" s="55"/>
      <c r="BL237" s="55"/>
      <c r="BM237" s="55"/>
      <c r="BN237" s="55"/>
      <c r="BO237" s="55"/>
      <c r="BP237" s="55"/>
      <c r="BQ237" s="65"/>
      <c r="BR237" s="55"/>
      <c r="BS237" s="55"/>
      <c r="BT237" s="55"/>
      <c r="BU237" s="55"/>
      <c r="BV237" s="55"/>
      <c r="BW237" s="55"/>
      <c r="BX237" s="55"/>
      <c r="BY237" s="55"/>
      <c r="BZ237" s="65"/>
      <c r="CA237" s="55"/>
      <c r="CB237" s="55"/>
      <c r="CC237" s="55"/>
      <c r="CD237" s="55"/>
      <c r="CE237" s="55"/>
      <c r="CF237" s="55"/>
      <c r="CG237" s="55"/>
      <c r="CH237" s="55"/>
      <c r="CI237" s="55"/>
    </row>
    <row r="238" spans="1:87">
      <c r="A238" s="12" t="str">
        <f>Roster!A238</f>
        <v/>
      </c>
      <c r="B238" s="28">
        <f>Roster!C238</f>
        <v>0</v>
      </c>
      <c r="C238" s="28" t="str">
        <f>IF(COUNTIFS(Table36103[[#This Row],[Continue Existing]:[Start New]], "TRUE")=0, "YES", "NO")</f>
        <v>YES</v>
      </c>
      <c r="D238" s="28" t="b">
        <f>COUNTIFS(Table36103[[#This Row],[Screening Results: Drug &amp; Alcohol Assessment 1]:[Other Reason 9]], "Continue with existing treatment services")&gt;0</f>
        <v>0</v>
      </c>
      <c r="E238" s="28" t="b">
        <f>COUNTIFS(Table36103[[#This Row],[Screening Results: Drug &amp; Alcohol Assessment 1]:[Other Reason 9]], "Start new service")&gt;0</f>
        <v>0</v>
      </c>
      <c r="F238" s="55"/>
      <c r="G238" s="56"/>
      <c r="H238" s="57"/>
      <c r="I238" s="57"/>
      <c r="J238" s="57"/>
      <c r="K238" s="57"/>
      <c r="L238" s="57"/>
      <c r="M238" s="57"/>
      <c r="N238" s="45"/>
      <c r="O238" s="58"/>
      <c r="P238" s="56"/>
      <c r="Q238" s="57"/>
      <c r="R238" s="57"/>
      <c r="S238" s="57"/>
      <c r="T238" s="57"/>
      <c r="U238" s="57"/>
      <c r="V238" s="57"/>
      <c r="W238" s="45"/>
      <c r="X238" s="71"/>
      <c r="Y238" s="57"/>
      <c r="Z238" s="57"/>
      <c r="AA238" s="57"/>
      <c r="AB238" s="57"/>
      <c r="AC238" s="57"/>
      <c r="AD238" s="57"/>
      <c r="AE238" s="57"/>
      <c r="AF238" s="57"/>
      <c r="AG238" s="71"/>
      <c r="AH238" s="57"/>
      <c r="AI238" s="57"/>
      <c r="AJ238" s="57"/>
      <c r="AK238" s="57"/>
      <c r="AL238" s="57"/>
      <c r="AM238" s="57"/>
      <c r="AN238" s="57"/>
      <c r="AO238" s="57"/>
      <c r="AP238" s="71"/>
      <c r="AQ238" s="57"/>
      <c r="AR238" s="57"/>
      <c r="AS238" s="57"/>
      <c r="AT238" s="57"/>
      <c r="AU238" s="57"/>
      <c r="AV238" s="57"/>
      <c r="AW238" s="57"/>
      <c r="AX238" s="57"/>
      <c r="AY238" s="71"/>
      <c r="AZ238" s="57"/>
      <c r="BA238" s="55"/>
      <c r="BB238" s="55"/>
      <c r="BC238" s="55"/>
      <c r="BD238" s="55"/>
      <c r="BE238" s="55"/>
      <c r="BF238" s="55"/>
      <c r="BG238" s="57"/>
      <c r="BH238" s="65"/>
      <c r="BI238" s="55"/>
      <c r="BJ238" s="55"/>
      <c r="BK238" s="55"/>
      <c r="BL238" s="55"/>
      <c r="BM238" s="55"/>
      <c r="BN238" s="55"/>
      <c r="BO238" s="55"/>
      <c r="BP238" s="55"/>
      <c r="BQ238" s="65"/>
      <c r="BR238" s="55"/>
      <c r="BS238" s="55"/>
      <c r="BT238" s="55"/>
      <c r="BU238" s="55"/>
      <c r="BV238" s="55"/>
      <c r="BW238" s="55"/>
      <c r="BX238" s="55"/>
      <c r="BY238" s="55"/>
      <c r="BZ238" s="65"/>
      <c r="CA238" s="55"/>
      <c r="CB238" s="55"/>
      <c r="CC238" s="55"/>
      <c r="CD238" s="55"/>
      <c r="CE238" s="55"/>
      <c r="CF238" s="55"/>
      <c r="CG238" s="55"/>
      <c r="CH238" s="55"/>
      <c r="CI238" s="55"/>
    </row>
    <row r="239" spans="1:87">
      <c r="A239" s="12" t="str">
        <f>Roster!A239</f>
        <v/>
      </c>
      <c r="B239" s="28">
        <f>Roster!C239</f>
        <v>0</v>
      </c>
      <c r="C239" s="28" t="str">
        <f>IF(COUNTIFS(Table36103[[#This Row],[Continue Existing]:[Start New]], "TRUE")=0, "YES", "NO")</f>
        <v>YES</v>
      </c>
      <c r="D239" s="28" t="b">
        <f>COUNTIFS(Table36103[[#This Row],[Screening Results: Drug &amp; Alcohol Assessment 1]:[Other Reason 9]], "Continue with existing treatment services")&gt;0</f>
        <v>0</v>
      </c>
      <c r="E239" s="28" t="b">
        <f>COUNTIFS(Table36103[[#This Row],[Screening Results: Drug &amp; Alcohol Assessment 1]:[Other Reason 9]], "Start new service")&gt;0</f>
        <v>0</v>
      </c>
      <c r="F239" s="55"/>
      <c r="G239" s="56"/>
      <c r="H239" s="57"/>
      <c r="I239" s="57"/>
      <c r="J239" s="57"/>
      <c r="K239" s="57"/>
      <c r="L239" s="57"/>
      <c r="M239" s="57"/>
      <c r="N239" s="45"/>
      <c r="O239" s="58"/>
      <c r="P239" s="56"/>
      <c r="Q239" s="57"/>
      <c r="R239" s="57"/>
      <c r="S239" s="57"/>
      <c r="T239" s="57"/>
      <c r="U239" s="57"/>
      <c r="V239" s="57"/>
      <c r="W239" s="45"/>
      <c r="X239" s="71"/>
      <c r="Y239" s="57"/>
      <c r="Z239" s="57"/>
      <c r="AA239" s="57"/>
      <c r="AB239" s="57"/>
      <c r="AC239" s="57"/>
      <c r="AD239" s="57"/>
      <c r="AE239" s="57"/>
      <c r="AF239" s="57"/>
      <c r="AG239" s="71"/>
      <c r="AH239" s="57"/>
      <c r="AI239" s="57"/>
      <c r="AJ239" s="57"/>
      <c r="AK239" s="57"/>
      <c r="AL239" s="57"/>
      <c r="AM239" s="57"/>
      <c r="AN239" s="57"/>
      <c r="AO239" s="57"/>
      <c r="AP239" s="71"/>
      <c r="AQ239" s="57"/>
      <c r="AR239" s="57"/>
      <c r="AS239" s="57"/>
      <c r="AT239" s="57"/>
      <c r="AU239" s="57"/>
      <c r="AV239" s="57"/>
      <c r="AW239" s="57"/>
      <c r="AX239" s="57"/>
      <c r="AY239" s="71"/>
      <c r="AZ239" s="57"/>
      <c r="BA239" s="55"/>
      <c r="BB239" s="55"/>
      <c r="BC239" s="55"/>
      <c r="BD239" s="55"/>
      <c r="BE239" s="55"/>
      <c r="BF239" s="55"/>
      <c r="BG239" s="57"/>
      <c r="BH239" s="65"/>
      <c r="BI239" s="55"/>
      <c r="BJ239" s="55"/>
      <c r="BK239" s="55"/>
      <c r="BL239" s="55"/>
      <c r="BM239" s="55"/>
      <c r="BN239" s="55"/>
      <c r="BO239" s="55"/>
      <c r="BP239" s="55"/>
      <c r="BQ239" s="65"/>
      <c r="BR239" s="55"/>
      <c r="BS239" s="55"/>
      <c r="BT239" s="55"/>
      <c r="BU239" s="55"/>
      <c r="BV239" s="55"/>
      <c r="BW239" s="55"/>
      <c r="BX239" s="55"/>
      <c r="BY239" s="55"/>
      <c r="BZ239" s="65"/>
      <c r="CA239" s="55"/>
      <c r="CB239" s="55"/>
      <c r="CC239" s="55"/>
      <c r="CD239" s="55"/>
      <c r="CE239" s="55"/>
      <c r="CF239" s="55"/>
      <c r="CG239" s="55"/>
      <c r="CH239" s="55"/>
      <c r="CI239" s="55"/>
    </row>
    <row r="240" spans="1:87">
      <c r="A240" s="12" t="str">
        <f>Roster!A240</f>
        <v/>
      </c>
      <c r="B240" s="28">
        <f>Roster!C240</f>
        <v>0</v>
      </c>
      <c r="C240" s="28" t="str">
        <f>IF(COUNTIFS(Table36103[[#This Row],[Continue Existing]:[Start New]], "TRUE")=0, "YES", "NO")</f>
        <v>YES</v>
      </c>
      <c r="D240" s="28" t="b">
        <f>COUNTIFS(Table36103[[#This Row],[Screening Results: Drug &amp; Alcohol Assessment 1]:[Other Reason 9]], "Continue with existing treatment services")&gt;0</f>
        <v>0</v>
      </c>
      <c r="E240" s="28" t="b">
        <f>COUNTIFS(Table36103[[#This Row],[Screening Results: Drug &amp; Alcohol Assessment 1]:[Other Reason 9]], "Start new service")&gt;0</f>
        <v>0</v>
      </c>
      <c r="F240" s="55"/>
      <c r="G240" s="56"/>
      <c r="H240" s="57"/>
      <c r="I240" s="57"/>
      <c r="J240" s="57"/>
      <c r="K240" s="57"/>
      <c r="L240" s="57"/>
      <c r="M240" s="57"/>
      <c r="N240" s="45"/>
      <c r="O240" s="58"/>
      <c r="P240" s="56"/>
      <c r="Q240" s="57"/>
      <c r="R240" s="57"/>
      <c r="S240" s="57"/>
      <c r="T240" s="57"/>
      <c r="U240" s="57"/>
      <c r="V240" s="57"/>
      <c r="W240" s="45"/>
      <c r="X240" s="71"/>
      <c r="Y240" s="57"/>
      <c r="Z240" s="57"/>
      <c r="AA240" s="57"/>
      <c r="AB240" s="57"/>
      <c r="AC240" s="57"/>
      <c r="AD240" s="57"/>
      <c r="AE240" s="57"/>
      <c r="AF240" s="57"/>
      <c r="AG240" s="71"/>
      <c r="AH240" s="57"/>
      <c r="AI240" s="57"/>
      <c r="AJ240" s="57"/>
      <c r="AK240" s="57"/>
      <c r="AL240" s="57"/>
      <c r="AM240" s="57"/>
      <c r="AN240" s="57"/>
      <c r="AO240" s="57"/>
      <c r="AP240" s="71"/>
      <c r="AQ240" s="57"/>
      <c r="AR240" s="57"/>
      <c r="AS240" s="57"/>
      <c r="AT240" s="57"/>
      <c r="AU240" s="57"/>
      <c r="AV240" s="57"/>
      <c r="AW240" s="57"/>
      <c r="AX240" s="57"/>
      <c r="AY240" s="71"/>
      <c r="AZ240" s="57"/>
      <c r="BA240" s="55"/>
      <c r="BB240" s="55"/>
      <c r="BC240" s="55"/>
      <c r="BD240" s="55"/>
      <c r="BE240" s="55"/>
      <c r="BF240" s="55"/>
      <c r="BG240" s="57"/>
      <c r="BH240" s="65"/>
      <c r="BI240" s="55"/>
      <c r="BJ240" s="55"/>
      <c r="BK240" s="55"/>
      <c r="BL240" s="55"/>
      <c r="BM240" s="55"/>
      <c r="BN240" s="55"/>
      <c r="BO240" s="55"/>
      <c r="BP240" s="55"/>
      <c r="BQ240" s="65"/>
      <c r="BR240" s="55"/>
      <c r="BS240" s="55"/>
      <c r="BT240" s="55"/>
      <c r="BU240" s="55"/>
      <c r="BV240" s="55"/>
      <c r="BW240" s="55"/>
      <c r="BX240" s="55"/>
      <c r="BY240" s="55"/>
      <c r="BZ240" s="65"/>
      <c r="CA240" s="55"/>
      <c r="CB240" s="55"/>
      <c r="CC240" s="55"/>
      <c r="CD240" s="55"/>
      <c r="CE240" s="55"/>
      <c r="CF240" s="55"/>
      <c r="CG240" s="55"/>
      <c r="CH240" s="55"/>
      <c r="CI240" s="55"/>
    </row>
    <row r="241" spans="1:87">
      <c r="A241" s="12" t="str">
        <f>Roster!A241</f>
        <v/>
      </c>
      <c r="B241" s="28">
        <f>Roster!C241</f>
        <v>0</v>
      </c>
      <c r="C241" s="28" t="str">
        <f>IF(COUNTIFS(Table36103[[#This Row],[Continue Existing]:[Start New]], "TRUE")=0, "YES", "NO")</f>
        <v>YES</v>
      </c>
      <c r="D241" s="28" t="b">
        <f>COUNTIFS(Table36103[[#This Row],[Screening Results: Drug &amp; Alcohol Assessment 1]:[Other Reason 9]], "Continue with existing treatment services")&gt;0</f>
        <v>0</v>
      </c>
      <c r="E241" s="28" t="b">
        <f>COUNTIFS(Table36103[[#This Row],[Screening Results: Drug &amp; Alcohol Assessment 1]:[Other Reason 9]], "Start new service")&gt;0</f>
        <v>0</v>
      </c>
      <c r="F241" s="55"/>
      <c r="G241" s="56"/>
      <c r="H241" s="57"/>
      <c r="I241" s="57"/>
      <c r="J241" s="57"/>
      <c r="K241" s="57"/>
      <c r="L241" s="57"/>
      <c r="M241" s="57"/>
      <c r="N241" s="45"/>
      <c r="O241" s="58"/>
      <c r="P241" s="56"/>
      <c r="Q241" s="57"/>
      <c r="R241" s="57"/>
      <c r="S241" s="57"/>
      <c r="T241" s="57"/>
      <c r="U241" s="57"/>
      <c r="V241" s="57"/>
      <c r="W241" s="45"/>
      <c r="X241" s="71"/>
      <c r="Y241" s="57"/>
      <c r="Z241" s="57"/>
      <c r="AA241" s="57"/>
      <c r="AB241" s="57"/>
      <c r="AC241" s="57"/>
      <c r="AD241" s="57"/>
      <c r="AE241" s="57"/>
      <c r="AF241" s="57"/>
      <c r="AG241" s="71"/>
      <c r="AH241" s="57"/>
      <c r="AI241" s="57"/>
      <c r="AJ241" s="57"/>
      <c r="AK241" s="57"/>
      <c r="AL241" s="57"/>
      <c r="AM241" s="57"/>
      <c r="AN241" s="57"/>
      <c r="AO241" s="57"/>
      <c r="AP241" s="71"/>
      <c r="AQ241" s="57"/>
      <c r="AR241" s="57"/>
      <c r="AS241" s="57"/>
      <c r="AT241" s="57"/>
      <c r="AU241" s="57"/>
      <c r="AV241" s="57"/>
      <c r="AW241" s="57"/>
      <c r="AX241" s="57"/>
      <c r="AY241" s="71"/>
      <c r="AZ241" s="57"/>
      <c r="BA241" s="55"/>
      <c r="BB241" s="55"/>
      <c r="BC241" s="55"/>
      <c r="BD241" s="55"/>
      <c r="BE241" s="55"/>
      <c r="BF241" s="55"/>
      <c r="BG241" s="57"/>
      <c r="BH241" s="65"/>
      <c r="BI241" s="55"/>
      <c r="BJ241" s="55"/>
      <c r="BK241" s="55"/>
      <c r="BL241" s="55"/>
      <c r="BM241" s="55"/>
      <c r="BN241" s="55"/>
      <c r="BO241" s="55"/>
      <c r="BP241" s="55"/>
      <c r="BQ241" s="65"/>
      <c r="BR241" s="55"/>
      <c r="BS241" s="55"/>
      <c r="BT241" s="55"/>
      <c r="BU241" s="55"/>
      <c r="BV241" s="55"/>
      <c r="BW241" s="55"/>
      <c r="BX241" s="55"/>
      <c r="BY241" s="55"/>
      <c r="BZ241" s="65"/>
      <c r="CA241" s="55"/>
      <c r="CB241" s="55"/>
      <c r="CC241" s="55"/>
      <c r="CD241" s="55"/>
      <c r="CE241" s="55"/>
      <c r="CF241" s="55"/>
      <c r="CG241" s="55"/>
      <c r="CH241" s="55"/>
      <c r="CI241" s="55"/>
    </row>
    <row r="242" spans="1:87">
      <c r="A242" s="12" t="str">
        <f>Roster!A242</f>
        <v/>
      </c>
      <c r="B242" s="28">
        <f>Roster!C242</f>
        <v>0</v>
      </c>
      <c r="C242" s="28" t="str">
        <f>IF(COUNTIFS(Table36103[[#This Row],[Continue Existing]:[Start New]], "TRUE")=0, "YES", "NO")</f>
        <v>YES</v>
      </c>
      <c r="D242" s="28" t="b">
        <f>COUNTIFS(Table36103[[#This Row],[Screening Results: Drug &amp; Alcohol Assessment 1]:[Other Reason 9]], "Continue with existing treatment services")&gt;0</f>
        <v>0</v>
      </c>
      <c r="E242" s="28" t="b">
        <f>COUNTIFS(Table36103[[#This Row],[Screening Results: Drug &amp; Alcohol Assessment 1]:[Other Reason 9]], "Start new service")&gt;0</f>
        <v>0</v>
      </c>
      <c r="F242" s="55"/>
      <c r="G242" s="56"/>
      <c r="H242" s="57"/>
      <c r="I242" s="57"/>
      <c r="J242" s="57"/>
      <c r="K242" s="57"/>
      <c r="L242" s="57"/>
      <c r="M242" s="57"/>
      <c r="N242" s="45"/>
      <c r="O242" s="58"/>
      <c r="P242" s="56"/>
      <c r="Q242" s="57"/>
      <c r="R242" s="57"/>
      <c r="S242" s="57"/>
      <c r="T242" s="57"/>
      <c r="U242" s="57"/>
      <c r="V242" s="57"/>
      <c r="W242" s="45"/>
      <c r="X242" s="71"/>
      <c r="Y242" s="57"/>
      <c r="Z242" s="57"/>
      <c r="AA242" s="57"/>
      <c r="AB242" s="57"/>
      <c r="AC242" s="57"/>
      <c r="AD242" s="57"/>
      <c r="AE242" s="57"/>
      <c r="AF242" s="57"/>
      <c r="AG242" s="71"/>
      <c r="AH242" s="57"/>
      <c r="AI242" s="57"/>
      <c r="AJ242" s="57"/>
      <c r="AK242" s="57"/>
      <c r="AL242" s="57"/>
      <c r="AM242" s="57"/>
      <c r="AN242" s="57"/>
      <c r="AO242" s="57"/>
      <c r="AP242" s="71"/>
      <c r="AQ242" s="57"/>
      <c r="AR242" s="57"/>
      <c r="AS242" s="57"/>
      <c r="AT242" s="57"/>
      <c r="AU242" s="57"/>
      <c r="AV242" s="57"/>
      <c r="AW242" s="57"/>
      <c r="AX242" s="57"/>
      <c r="AY242" s="71"/>
      <c r="AZ242" s="57"/>
      <c r="BA242" s="55"/>
      <c r="BB242" s="55"/>
      <c r="BC242" s="55"/>
      <c r="BD242" s="55"/>
      <c r="BE242" s="55"/>
      <c r="BF242" s="55"/>
      <c r="BG242" s="57"/>
      <c r="BH242" s="65"/>
      <c r="BI242" s="55"/>
      <c r="BJ242" s="55"/>
      <c r="BK242" s="55"/>
      <c r="BL242" s="55"/>
      <c r="BM242" s="55"/>
      <c r="BN242" s="55"/>
      <c r="BO242" s="55"/>
      <c r="BP242" s="55"/>
      <c r="BQ242" s="65"/>
      <c r="BR242" s="55"/>
      <c r="BS242" s="55"/>
      <c r="BT242" s="55"/>
      <c r="BU242" s="55"/>
      <c r="BV242" s="55"/>
      <c r="BW242" s="55"/>
      <c r="BX242" s="55"/>
      <c r="BY242" s="55"/>
      <c r="BZ242" s="65"/>
      <c r="CA242" s="55"/>
      <c r="CB242" s="55"/>
      <c r="CC242" s="55"/>
      <c r="CD242" s="55"/>
      <c r="CE242" s="55"/>
      <c r="CF242" s="55"/>
      <c r="CG242" s="55"/>
      <c r="CH242" s="55"/>
      <c r="CI242" s="55"/>
    </row>
    <row r="243" spans="1:87">
      <c r="A243" s="12" t="str">
        <f>Roster!A243</f>
        <v/>
      </c>
      <c r="B243" s="28">
        <f>Roster!C243</f>
        <v>0</v>
      </c>
      <c r="C243" s="28" t="str">
        <f>IF(COUNTIFS(Table36103[[#This Row],[Continue Existing]:[Start New]], "TRUE")=0, "YES", "NO")</f>
        <v>YES</v>
      </c>
      <c r="D243" s="28" t="b">
        <f>COUNTIFS(Table36103[[#This Row],[Screening Results: Drug &amp; Alcohol Assessment 1]:[Other Reason 9]], "Continue with existing treatment services")&gt;0</f>
        <v>0</v>
      </c>
      <c r="E243" s="28" t="b">
        <f>COUNTIFS(Table36103[[#This Row],[Screening Results: Drug &amp; Alcohol Assessment 1]:[Other Reason 9]], "Start new service")&gt;0</f>
        <v>0</v>
      </c>
      <c r="F243" s="55"/>
      <c r="G243" s="56"/>
      <c r="H243" s="57"/>
      <c r="I243" s="57"/>
      <c r="J243" s="57"/>
      <c r="K243" s="57"/>
      <c r="L243" s="57"/>
      <c r="M243" s="57"/>
      <c r="N243" s="45"/>
      <c r="O243" s="58"/>
      <c r="P243" s="56"/>
      <c r="Q243" s="57"/>
      <c r="R243" s="57"/>
      <c r="S243" s="57"/>
      <c r="T243" s="57"/>
      <c r="U243" s="57"/>
      <c r="V243" s="57"/>
      <c r="W243" s="45"/>
      <c r="X243" s="71"/>
      <c r="Y243" s="57"/>
      <c r="Z243" s="57"/>
      <c r="AA243" s="57"/>
      <c r="AB243" s="57"/>
      <c r="AC243" s="57"/>
      <c r="AD243" s="57"/>
      <c r="AE243" s="57"/>
      <c r="AF243" s="57"/>
      <c r="AG243" s="71"/>
      <c r="AH243" s="57"/>
      <c r="AI243" s="57"/>
      <c r="AJ243" s="57"/>
      <c r="AK243" s="57"/>
      <c r="AL243" s="57"/>
      <c r="AM243" s="57"/>
      <c r="AN243" s="57"/>
      <c r="AO243" s="57"/>
      <c r="AP243" s="71"/>
      <c r="AQ243" s="57"/>
      <c r="AR243" s="57"/>
      <c r="AS243" s="57"/>
      <c r="AT243" s="57"/>
      <c r="AU243" s="57"/>
      <c r="AV243" s="57"/>
      <c r="AW243" s="57"/>
      <c r="AX243" s="57"/>
      <c r="AY243" s="71"/>
      <c r="AZ243" s="57"/>
      <c r="BA243" s="55"/>
      <c r="BB243" s="55"/>
      <c r="BC243" s="55"/>
      <c r="BD243" s="55"/>
      <c r="BE243" s="55"/>
      <c r="BF243" s="55"/>
      <c r="BG243" s="57"/>
      <c r="BH243" s="65"/>
      <c r="BI243" s="55"/>
      <c r="BJ243" s="55"/>
      <c r="BK243" s="55"/>
      <c r="BL243" s="55"/>
      <c r="BM243" s="55"/>
      <c r="BN243" s="55"/>
      <c r="BO243" s="55"/>
      <c r="BP243" s="55"/>
      <c r="BQ243" s="65"/>
      <c r="BR243" s="55"/>
      <c r="BS243" s="55"/>
      <c r="BT243" s="55"/>
      <c r="BU243" s="55"/>
      <c r="BV243" s="55"/>
      <c r="BW243" s="55"/>
      <c r="BX243" s="55"/>
      <c r="BY243" s="55"/>
      <c r="BZ243" s="65"/>
      <c r="CA243" s="55"/>
      <c r="CB243" s="55"/>
      <c r="CC243" s="55"/>
      <c r="CD243" s="55"/>
      <c r="CE243" s="55"/>
      <c r="CF243" s="55"/>
      <c r="CG243" s="55"/>
      <c r="CH243" s="55"/>
      <c r="CI243" s="55"/>
    </row>
    <row r="244" spans="1:87">
      <c r="A244" s="12" t="str">
        <f>Roster!A244</f>
        <v/>
      </c>
      <c r="B244" s="28">
        <f>Roster!C244</f>
        <v>0</v>
      </c>
      <c r="C244" s="28" t="str">
        <f>IF(COUNTIFS(Table36103[[#This Row],[Continue Existing]:[Start New]], "TRUE")=0, "YES", "NO")</f>
        <v>YES</v>
      </c>
      <c r="D244" s="28" t="b">
        <f>COUNTIFS(Table36103[[#This Row],[Screening Results: Drug &amp; Alcohol Assessment 1]:[Other Reason 9]], "Continue with existing treatment services")&gt;0</f>
        <v>0</v>
      </c>
      <c r="E244" s="28" t="b">
        <f>COUNTIFS(Table36103[[#This Row],[Screening Results: Drug &amp; Alcohol Assessment 1]:[Other Reason 9]], "Start new service")&gt;0</f>
        <v>0</v>
      </c>
      <c r="F244" s="55"/>
      <c r="G244" s="56"/>
      <c r="H244" s="57"/>
      <c r="I244" s="57"/>
      <c r="J244" s="57"/>
      <c r="K244" s="57"/>
      <c r="L244" s="57"/>
      <c r="M244" s="57"/>
      <c r="N244" s="45"/>
      <c r="O244" s="58"/>
      <c r="P244" s="56"/>
      <c r="Q244" s="57"/>
      <c r="R244" s="57"/>
      <c r="S244" s="57"/>
      <c r="T244" s="57"/>
      <c r="U244" s="57"/>
      <c r="V244" s="57"/>
      <c r="W244" s="45"/>
      <c r="X244" s="71"/>
      <c r="Y244" s="57"/>
      <c r="Z244" s="57"/>
      <c r="AA244" s="57"/>
      <c r="AB244" s="57"/>
      <c r="AC244" s="57"/>
      <c r="AD244" s="57"/>
      <c r="AE244" s="57"/>
      <c r="AF244" s="57"/>
      <c r="AG244" s="71"/>
      <c r="AH244" s="57"/>
      <c r="AI244" s="57"/>
      <c r="AJ244" s="57"/>
      <c r="AK244" s="57"/>
      <c r="AL244" s="57"/>
      <c r="AM244" s="57"/>
      <c r="AN244" s="57"/>
      <c r="AO244" s="57"/>
      <c r="AP244" s="71"/>
      <c r="AQ244" s="57"/>
      <c r="AR244" s="57"/>
      <c r="AS244" s="57"/>
      <c r="AT244" s="57"/>
      <c r="AU244" s="57"/>
      <c r="AV244" s="57"/>
      <c r="AW244" s="57"/>
      <c r="AX244" s="57"/>
      <c r="AY244" s="71"/>
      <c r="AZ244" s="57"/>
      <c r="BA244" s="55"/>
      <c r="BB244" s="55"/>
      <c r="BC244" s="55"/>
      <c r="BD244" s="55"/>
      <c r="BE244" s="55"/>
      <c r="BF244" s="55"/>
      <c r="BG244" s="57"/>
      <c r="BH244" s="65"/>
      <c r="BI244" s="55"/>
      <c r="BJ244" s="55"/>
      <c r="BK244" s="55"/>
      <c r="BL244" s="55"/>
      <c r="BM244" s="55"/>
      <c r="BN244" s="55"/>
      <c r="BO244" s="55"/>
      <c r="BP244" s="55"/>
      <c r="BQ244" s="65"/>
      <c r="BR244" s="55"/>
      <c r="BS244" s="55"/>
      <c r="BT244" s="55"/>
      <c r="BU244" s="55"/>
      <c r="BV244" s="55"/>
      <c r="BW244" s="55"/>
      <c r="BX244" s="55"/>
      <c r="BY244" s="55"/>
      <c r="BZ244" s="65"/>
      <c r="CA244" s="55"/>
      <c r="CB244" s="55"/>
      <c r="CC244" s="55"/>
      <c r="CD244" s="55"/>
      <c r="CE244" s="55"/>
      <c r="CF244" s="55"/>
      <c r="CG244" s="55"/>
      <c r="CH244" s="55"/>
      <c r="CI244" s="55"/>
    </row>
    <row r="245" spans="1:87">
      <c r="A245" s="12" t="str">
        <f>Roster!A245</f>
        <v/>
      </c>
      <c r="B245" s="28">
        <f>Roster!C245</f>
        <v>0</v>
      </c>
      <c r="C245" s="28" t="str">
        <f>IF(COUNTIFS(Table36103[[#This Row],[Continue Existing]:[Start New]], "TRUE")=0, "YES", "NO")</f>
        <v>YES</v>
      </c>
      <c r="D245" s="28" t="b">
        <f>COUNTIFS(Table36103[[#This Row],[Screening Results: Drug &amp; Alcohol Assessment 1]:[Other Reason 9]], "Continue with existing treatment services")&gt;0</f>
        <v>0</v>
      </c>
      <c r="E245" s="28" t="b">
        <f>COUNTIFS(Table36103[[#This Row],[Screening Results: Drug &amp; Alcohol Assessment 1]:[Other Reason 9]], "Start new service")&gt;0</f>
        <v>0</v>
      </c>
      <c r="F245" s="55"/>
      <c r="G245" s="56"/>
      <c r="H245" s="57"/>
      <c r="I245" s="57"/>
      <c r="J245" s="57"/>
      <c r="K245" s="57"/>
      <c r="L245" s="57"/>
      <c r="M245" s="57"/>
      <c r="N245" s="45"/>
      <c r="O245" s="58"/>
      <c r="P245" s="56"/>
      <c r="Q245" s="57"/>
      <c r="R245" s="57"/>
      <c r="S245" s="57"/>
      <c r="T245" s="57"/>
      <c r="U245" s="57"/>
      <c r="V245" s="57"/>
      <c r="W245" s="45"/>
      <c r="X245" s="71"/>
      <c r="Y245" s="57"/>
      <c r="Z245" s="57"/>
      <c r="AA245" s="57"/>
      <c r="AB245" s="57"/>
      <c r="AC245" s="57"/>
      <c r="AD245" s="57"/>
      <c r="AE245" s="57"/>
      <c r="AF245" s="57"/>
      <c r="AG245" s="71"/>
      <c r="AH245" s="57"/>
      <c r="AI245" s="57"/>
      <c r="AJ245" s="57"/>
      <c r="AK245" s="57"/>
      <c r="AL245" s="57"/>
      <c r="AM245" s="57"/>
      <c r="AN245" s="57"/>
      <c r="AO245" s="57"/>
      <c r="AP245" s="71"/>
      <c r="AQ245" s="57"/>
      <c r="AR245" s="57"/>
      <c r="AS245" s="57"/>
      <c r="AT245" s="57"/>
      <c r="AU245" s="57"/>
      <c r="AV245" s="57"/>
      <c r="AW245" s="57"/>
      <c r="AX245" s="57"/>
      <c r="AY245" s="71"/>
      <c r="AZ245" s="57"/>
      <c r="BA245" s="55"/>
      <c r="BB245" s="55"/>
      <c r="BC245" s="55"/>
      <c r="BD245" s="55"/>
      <c r="BE245" s="55"/>
      <c r="BF245" s="55"/>
      <c r="BG245" s="57"/>
      <c r="BH245" s="65"/>
      <c r="BI245" s="55"/>
      <c r="BJ245" s="55"/>
      <c r="BK245" s="55"/>
      <c r="BL245" s="55"/>
      <c r="BM245" s="55"/>
      <c r="BN245" s="55"/>
      <c r="BO245" s="55"/>
      <c r="BP245" s="55"/>
      <c r="BQ245" s="65"/>
      <c r="BR245" s="55"/>
      <c r="BS245" s="55"/>
      <c r="BT245" s="55"/>
      <c r="BU245" s="55"/>
      <c r="BV245" s="55"/>
      <c r="BW245" s="55"/>
      <c r="BX245" s="55"/>
      <c r="BY245" s="55"/>
      <c r="BZ245" s="65"/>
      <c r="CA245" s="55"/>
      <c r="CB245" s="55"/>
      <c r="CC245" s="55"/>
      <c r="CD245" s="55"/>
      <c r="CE245" s="55"/>
      <c r="CF245" s="55"/>
      <c r="CG245" s="55"/>
      <c r="CH245" s="55"/>
      <c r="CI245" s="55"/>
    </row>
    <row r="246" spans="1:87">
      <c r="A246" s="12" t="str">
        <f>Roster!A246</f>
        <v/>
      </c>
      <c r="B246" s="28">
        <f>Roster!C246</f>
        <v>0</v>
      </c>
      <c r="C246" s="28" t="str">
        <f>IF(COUNTIFS(Table36103[[#This Row],[Continue Existing]:[Start New]], "TRUE")=0, "YES", "NO")</f>
        <v>YES</v>
      </c>
      <c r="D246" s="28" t="b">
        <f>COUNTIFS(Table36103[[#This Row],[Screening Results: Drug &amp; Alcohol Assessment 1]:[Other Reason 9]], "Continue with existing treatment services")&gt;0</f>
        <v>0</v>
      </c>
      <c r="E246" s="28" t="b">
        <f>COUNTIFS(Table36103[[#This Row],[Screening Results: Drug &amp; Alcohol Assessment 1]:[Other Reason 9]], "Start new service")&gt;0</f>
        <v>0</v>
      </c>
      <c r="F246" s="55"/>
      <c r="G246" s="56"/>
      <c r="H246" s="57"/>
      <c r="I246" s="57"/>
      <c r="J246" s="57"/>
      <c r="K246" s="57"/>
      <c r="L246" s="57"/>
      <c r="M246" s="57"/>
      <c r="N246" s="45"/>
      <c r="O246" s="58"/>
      <c r="P246" s="56"/>
      <c r="Q246" s="57"/>
      <c r="R246" s="57"/>
      <c r="S246" s="57"/>
      <c r="T246" s="57"/>
      <c r="U246" s="57"/>
      <c r="V246" s="57"/>
      <c r="W246" s="45"/>
      <c r="X246" s="71"/>
      <c r="Y246" s="57"/>
      <c r="Z246" s="57"/>
      <c r="AA246" s="57"/>
      <c r="AB246" s="57"/>
      <c r="AC246" s="57"/>
      <c r="AD246" s="57"/>
      <c r="AE246" s="57"/>
      <c r="AF246" s="57"/>
      <c r="AG246" s="71"/>
      <c r="AH246" s="57"/>
      <c r="AI246" s="57"/>
      <c r="AJ246" s="57"/>
      <c r="AK246" s="57"/>
      <c r="AL246" s="57"/>
      <c r="AM246" s="57"/>
      <c r="AN246" s="57"/>
      <c r="AO246" s="57"/>
      <c r="AP246" s="71"/>
      <c r="AQ246" s="57"/>
      <c r="AR246" s="57"/>
      <c r="AS246" s="57"/>
      <c r="AT246" s="57"/>
      <c r="AU246" s="57"/>
      <c r="AV246" s="57"/>
      <c r="AW246" s="57"/>
      <c r="AX246" s="57"/>
      <c r="AY246" s="71"/>
      <c r="AZ246" s="57"/>
      <c r="BA246" s="55"/>
      <c r="BB246" s="55"/>
      <c r="BC246" s="55"/>
      <c r="BD246" s="55"/>
      <c r="BE246" s="55"/>
      <c r="BF246" s="55"/>
      <c r="BG246" s="57"/>
      <c r="BH246" s="65"/>
      <c r="BI246" s="55"/>
      <c r="BJ246" s="55"/>
      <c r="BK246" s="55"/>
      <c r="BL246" s="55"/>
      <c r="BM246" s="55"/>
      <c r="BN246" s="55"/>
      <c r="BO246" s="55"/>
      <c r="BP246" s="55"/>
      <c r="BQ246" s="65"/>
      <c r="BR246" s="55"/>
      <c r="BS246" s="55"/>
      <c r="BT246" s="55"/>
      <c r="BU246" s="55"/>
      <c r="BV246" s="55"/>
      <c r="BW246" s="55"/>
      <c r="BX246" s="55"/>
      <c r="BY246" s="55"/>
      <c r="BZ246" s="65"/>
      <c r="CA246" s="55"/>
      <c r="CB246" s="55"/>
      <c r="CC246" s="55"/>
      <c r="CD246" s="55"/>
      <c r="CE246" s="55"/>
      <c r="CF246" s="55"/>
      <c r="CG246" s="55"/>
      <c r="CH246" s="55"/>
      <c r="CI246" s="55"/>
    </row>
    <row r="247" spans="1:87">
      <c r="A247" s="12" t="str">
        <f>Roster!A247</f>
        <v/>
      </c>
      <c r="B247" s="28">
        <f>Roster!C247</f>
        <v>0</v>
      </c>
      <c r="C247" s="28" t="str">
        <f>IF(COUNTIFS(Table36103[[#This Row],[Continue Existing]:[Start New]], "TRUE")=0, "YES", "NO")</f>
        <v>YES</v>
      </c>
      <c r="D247" s="28" t="b">
        <f>COUNTIFS(Table36103[[#This Row],[Screening Results: Drug &amp; Alcohol Assessment 1]:[Other Reason 9]], "Continue with existing treatment services")&gt;0</f>
        <v>0</v>
      </c>
      <c r="E247" s="28" t="b">
        <f>COUNTIFS(Table36103[[#This Row],[Screening Results: Drug &amp; Alcohol Assessment 1]:[Other Reason 9]], "Start new service")&gt;0</f>
        <v>0</v>
      </c>
      <c r="F247" s="55"/>
      <c r="G247" s="56"/>
      <c r="H247" s="57"/>
      <c r="I247" s="57"/>
      <c r="J247" s="57"/>
      <c r="K247" s="57"/>
      <c r="L247" s="57"/>
      <c r="M247" s="57"/>
      <c r="N247" s="45"/>
      <c r="O247" s="58"/>
      <c r="P247" s="56"/>
      <c r="Q247" s="57"/>
      <c r="R247" s="57"/>
      <c r="S247" s="57"/>
      <c r="T247" s="57"/>
      <c r="U247" s="57"/>
      <c r="V247" s="57"/>
      <c r="W247" s="45"/>
      <c r="X247" s="71"/>
      <c r="Y247" s="57"/>
      <c r="Z247" s="57"/>
      <c r="AA247" s="57"/>
      <c r="AB247" s="57"/>
      <c r="AC247" s="57"/>
      <c r="AD247" s="57"/>
      <c r="AE247" s="57"/>
      <c r="AF247" s="57"/>
      <c r="AG247" s="71"/>
      <c r="AH247" s="57"/>
      <c r="AI247" s="57"/>
      <c r="AJ247" s="57"/>
      <c r="AK247" s="57"/>
      <c r="AL247" s="57"/>
      <c r="AM247" s="57"/>
      <c r="AN247" s="57"/>
      <c r="AO247" s="57"/>
      <c r="AP247" s="71"/>
      <c r="AQ247" s="57"/>
      <c r="AR247" s="57"/>
      <c r="AS247" s="57"/>
      <c r="AT247" s="57"/>
      <c r="AU247" s="57"/>
      <c r="AV247" s="57"/>
      <c r="AW247" s="57"/>
      <c r="AX247" s="57"/>
      <c r="AY247" s="71"/>
      <c r="AZ247" s="57"/>
      <c r="BA247" s="55"/>
      <c r="BB247" s="55"/>
      <c r="BC247" s="55"/>
      <c r="BD247" s="55"/>
      <c r="BE247" s="55"/>
      <c r="BF247" s="55"/>
      <c r="BG247" s="57"/>
      <c r="BH247" s="65"/>
      <c r="BI247" s="55"/>
      <c r="BJ247" s="55"/>
      <c r="BK247" s="55"/>
      <c r="BL247" s="55"/>
      <c r="BM247" s="55"/>
      <c r="BN247" s="55"/>
      <c r="BO247" s="55"/>
      <c r="BP247" s="55"/>
      <c r="BQ247" s="65"/>
      <c r="BR247" s="55"/>
      <c r="BS247" s="55"/>
      <c r="BT247" s="55"/>
      <c r="BU247" s="55"/>
      <c r="BV247" s="55"/>
      <c r="BW247" s="55"/>
      <c r="BX247" s="55"/>
      <c r="BY247" s="55"/>
      <c r="BZ247" s="65"/>
      <c r="CA247" s="55"/>
      <c r="CB247" s="55"/>
      <c r="CC247" s="55"/>
      <c r="CD247" s="55"/>
      <c r="CE247" s="55"/>
      <c r="CF247" s="55"/>
      <c r="CG247" s="55"/>
      <c r="CH247" s="55"/>
      <c r="CI247" s="55"/>
    </row>
    <row r="248" spans="1:87">
      <c r="A248" s="12" t="str">
        <f>Roster!A248</f>
        <v/>
      </c>
      <c r="B248" s="28">
        <f>Roster!C248</f>
        <v>0</v>
      </c>
      <c r="C248" s="28" t="str">
        <f>IF(COUNTIFS(Table36103[[#This Row],[Continue Existing]:[Start New]], "TRUE")=0, "YES", "NO")</f>
        <v>YES</v>
      </c>
      <c r="D248" s="28" t="b">
        <f>COUNTIFS(Table36103[[#This Row],[Screening Results: Drug &amp; Alcohol Assessment 1]:[Other Reason 9]], "Continue with existing treatment services")&gt;0</f>
        <v>0</v>
      </c>
      <c r="E248" s="28" t="b">
        <f>COUNTIFS(Table36103[[#This Row],[Screening Results: Drug &amp; Alcohol Assessment 1]:[Other Reason 9]], "Start new service")&gt;0</f>
        <v>0</v>
      </c>
      <c r="F248" s="55"/>
      <c r="G248" s="56"/>
      <c r="H248" s="57"/>
      <c r="I248" s="57"/>
      <c r="J248" s="57"/>
      <c r="K248" s="57"/>
      <c r="L248" s="57"/>
      <c r="M248" s="57"/>
      <c r="N248" s="45"/>
      <c r="O248" s="58"/>
      <c r="P248" s="56"/>
      <c r="Q248" s="57"/>
      <c r="R248" s="57"/>
      <c r="S248" s="57"/>
      <c r="T248" s="57"/>
      <c r="U248" s="57"/>
      <c r="V248" s="57"/>
      <c r="W248" s="45"/>
      <c r="X248" s="71"/>
      <c r="Y248" s="57"/>
      <c r="Z248" s="57"/>
      <c r="AA248" s="57"/>
      <c r="AB248" s="57"/>
      <c r="AC248" s="57"/>
      <c r="AD248" s="57"/>
      <c r="AE248" s="57"/>
      <c r="AF248" s="57"/>
      <c r="AG248" s="71"/>
      <c r="AH248" s="57"/>
      <c r="AI248" s="57"/>
      <c r="AJ248" s="57"/>
      <c r="AK248" s="57"/>
      <c r="AL248" s="57"/>
      <c r="AM248" s="57"/>
      <c r="AN248" s="57"/>
      <c r="AO248" s="57"/>
      <c r="AP248" s="71"/>
      <c r="AQ248" s="57"/>
      <c r="AR248" s="57"/>
      <c r="AS248" s="57"/>
      <c r="AT248" s="57"/>
      <c r="AU248" s="57"/>
      <c r="AV248" s="57"/>
      <c r="AW248" s="57"/>
      <c r="AX248" s="57"/>
      <c r="AY248" s="71"/>
      <c r="AZ248" s="57"/>
      <c r="BA248" s="55"/>
      <c r="BB248" s="55"/>
      <c r="BC248" s="55"/>
      <c r="BD248" s="55"/>
      <c r="BE248" s="55"/>
      <c r="BF248" s="55"/>
      <c r="BG248" s="57"/>
      <c r="BH248" s="65"/>
      <c r="BI248" s="55"/>
      <c r="BJ248" s="55"/>
      <c r="BK248" s="55"/>
      <c r="BL248" s="55"/>
      <c r="BM248" s="55"/>
      <c r="BN248" s="55"/>
      <c r="BO248" s="55"/>
      <c r="BP248" s="55"/>
      <c r="BQ248" s="65"/>
      <c r="BR248" s="55"/>
      <c r="BS248" s="55"/>
      <c r="BT248" s="55"/>
      <c r="BU248" s="55"/>
      <c r="BV248" s="55"/>
      <c r="BW248" s="55"/>
      <c r="BX248" s="55"/>
      <c r="BY248" s="55"/>
      <c r="BZ248" s="65"/>
      <c r="CA248" s="55"/>
      <c r="CB248" s="55"/>
      <c r="CC248" s="55"/>
      <c r="CD248" s="55"/>
      <c r="CE248" s="55"/>
      <c r="CF248" s="55"/>
      <c r="CG248" s="55"/>
      <c r="CH248" s="55"/>
      <c r="CI248" s="55"/>
    </row>
    <row r="249" spans="1:87">
      <c r="A249" s="12" t="str">
        <f>Roster!A249</f>
        <v/>
      </c>
      <c r="B249" s="28">
        <f>Roster!C249</f>
        <v>0</v>
      </c>
      <c r="C249" s="28" t="str">
        <f>IF(COUNTIFS(Table36103[[#This Row],[Continue Existing]:[Start New]], "TRUE")=0, "YES", "NO")</f>
        <v>YES</v>
      </c>
      <c r="D249" s="28" t="b">
        <f>COUNTIFS(Table36103[[#This Row],[Screening Results: Drug &amp; Alcohol Assessment 1]:[Other Reason 9]], "Continue with existing treatment services")&gt;0</f>
        <v>0</v>
      </c>
      <c r="E249" s="28" t="b">
        <f>COUNTIFS(Table36103[[#This Row],[Screening Results: Drug &amp; Alcohol Assessment 1]:[Other Reason 9]], "Start new service")&gt;0</f>
        <v>0</v>
      </c>
      <c r="F249" s="55"/>
      <c r="G249" s="56"/>
      <c r="H249" s="57"/>
      <c r="I249" s="57"/>
      <c r="J249" s="57"/>
      <c r="K249" s="57"/>
      <c r="L249" s="57"/>
      <c r="M249" s="57"/>
      <c r="N249" s="45"/>
      <c r="O249" s="58"/>
      <c r="P249" s="56"/>
      <c r="Q249" s="57"/>
      <c r="R249" s="57"/>
      <c r="S249" s="57"/>
      <c r="T249" s="57"/>
      <c r="U249" s="57"/>
      <c r="V249" s="57"/>
      <c r="W249" s="45"/>
      <c r="X249" s="71"/>
      <c r="Y249" s="57"/>
      <c r="Z249" s="57"/>
      <c r="AA249" s="57"/>
      <c r="AB249" s="57"/>
      <c r="AC249" s="57"/>
      <c r="AD249" s="57"/>
      <c r="AE249" s="57"/>
      <c r="AF249" s="57"/>
      <c r="AG249" s="71"/>
      <c r="AH249" s="57"/>
      <c r="AI249" s="57"/>
      <c r="AJ249" s="57"/>
      <c r="AK249" s="57"/>
      <c r="AL249" s="57"/>
      <c r="AM249" s="57"/>
      <c r="AN249" s="57"/>
      <c r="AO249" s="57"/>
      <c r="AP249" s="71"/>
      <c r="AQ249" s="57"/>
      <c r="AR249" s="57"/>
      <c r="AS249" s="57"/>
      <c r="AT249" s="57"/>
      <c r="AU249" s="57"/>
      <c r="AV249" s="57"/>
      <c r="AW249" s="57"/>
      <c r="AX249" s="57"/>
      <c r="AY249" s="71"/>
      <c r="AZ249" s="57"/>
      <c r="BA249" s="55"/>
      <c r="BB249" s="55"/>
      <c r="BC249" s="55"/>
      <c r="BD249" s="55"/>
      <c r="BE249" s="55"/>
      <c r="BF249" s="55"/>
      <c r="BG249" s="57"/>
      <c r="BH249" s="65"/>
      <c r="BI249" s="55"/>
      <c r="BJ249" s="55"/>
      <c r="BK249" s="55"/>
      <c r="BL249" s="55"/>
      <c r="BM249" s="55"/>
      <c r="BN249" s="55"/>
      <c r="BO249" s="55"/>
      <c r="BP249" s="55"/>
      <c r="BQ249" s="65"/>
      <c r="BR249" s="55"/>
      <c r="BS249" s="55"/>
      <c r="BT249" s="55"/>
      <c r="BU249" s="55"/>
      <c r="BV249" s="55"/>
      <c r="BW249" s="55"/>
      <c r="BX249" s="55"/>
      <c r="BY249" s="55"/>
      <c r="BZ249" s="65"/>
      <c r="CA249" s="55"/>
      <c r="CB249" s="55"/>
      <c r="CC249" s="55"/>
      <c r="CD249" s="55"/>
      <c r="CE249" s="55"/>
      <c r="CF249" s="55"/>
      <c r="CG249" s="55"/>
      <c r="CH249" s="55"/>
      <c r="CI249" s="55"/>
    </row>
    <row r="250" spans="1:87">
      <c r="A250" s="12" t="str">
        <f>Roster!A250</f>
        <v/>
      </c>
      <c r="B250" s="28">
        <f>Roster!C250</f>
        <v>0</v>
      </c>
      <c r="C250" s="28" t="str">
        <f>IF(COUNTIFS(Table36103[[#This Row],[Continue Existing]:[Start New]], "TRUE")=0, "YES", "NO")</f>
        <v>YES</v>
      </c>
      <c r="D250" s="28" t="b">
        <f>COUNTIFS(Table36103[[#This Row],[Screening Results: Drug &amp; Alcohol Assessment 1]:[Other Reason 9]], "Continue with existing treatment services")&gt;0</f>
        <v>0</v>
      </c>
      <c r="E250" s="28" t="b">
        <f>COUNTIFS(Table36103[[#This Row],[Screening Results: Drug &amp; Alcohol Assessment 1]:[Other Reason 9]], "Start new service")&gt;0</f>
        <v>0</v>
      </c>
      <c r="F250" s="55"/>
      <c r="G250" s="56"/>
      <c r="H250" s="57"/>
      <c r="I250" s="57"/>
      <c r="J250" s="57"/>
      <c r="K250" s="57"/>
      <c r="L250" s="57"/>
      <c r="M250" s="57"/>
      <c r="N250" s="45"/>
      <c r="O250" s="58"/>
      <c r="P250" s="56"/>
      <c r="Q250" s="57"/>
      <c r="R250" s="57"/>
      <c r="S250" s="57"/>
      <c r="T250" s="57"/>
      <c r="U250" s="57"/>
      <c r="V250" s="57"/>
      <c r="W250" s="45"/>
      <c r="X250" s="71"/>
      <c r="Y250" s="57"/>
      <c r="Z250" s="57"/>
      <c r="AA250" s="57"/>
      <c r="AB250" s="57"/>
      <c r="AC250" s="57"/>
      <c r="AD250" s="57"/>
      <c r="AE250" s="57"/>
      <c r="AF250" s="57"/>
      <c r="AG250" s="71"/>
      <c r="AH250" s="57"/>
      <c r="AI250" s="57"/>
      <c r="AJ250" s="57"/>
      <c r="AK250" s="57"/>
      <c r="AL250" s="57"/>
      <c r="AM250" s="57"/>
      <c r="AN250" s="57"/>
      <c r="AO250" s="57"/>
      <c r="AP250" s="71"/>
      <c r="AQ250" s="57"/>
      <c r="AR250" s="57"/>
      <c r="AS250" s="57"/>
      <c r="AT250" s="57"/>
      <c r="AU250" s="57"/>
      <c r="AV250" s="57"/>
      <c r="AW250" s="57"/>
      <c r="AX250" s="57"/>
      <c r="AY250" s="71"/>
      <c r="AZ250" s="57"/>
      <c r="BA250" s="55"/>
      <c r="BB250" s="55"/>
      <c r="BC250" s="55"/>
      <c r="BD250" s="55"/>
      <c r="BE250" s="55"/>
      <c r="BF250" s="55"/>
      <c r="BG250" s="57"/>
      <c r="BH250" s="65"/>
      <c r="BI250" s="55"/>
      <c r="BJ250" s="55"/>
      <c r="BK250" s="55"/>
      <c r="BL250" s="55"/>
      <c r="BM250" s="55"/>
      <c r="BN250" s="55"/>
      <c r="BO250" s="55"/>
      <c r="BP250" s="55"/>
      <c r="BQ250" s="65"/>
      <c r="BR250" s="55"/>
      <c r="BS250" s="55"/>
      <c r="BT250" s="55"/>
      <c r="BU250" s="55"/>
      <c r="BV250" s="55"/>
      <c r="BW250" s="55"/>
      <c r="BX250" s="55"/>
      <c r="BY250" s="55"/>
      <c r="BZ250" s="65"/>
      <c r="CA250" s="55"/>
      <c r="CB250" s="55"/>
      <c r="CC250" s="55"/>
      <c r="CD250" s="55"/>
      <c r="CE250" s="55"/>
      <c r="CF250" s="55"/>
      <c r="CG250" s="55"/>
      <c r="CH250" s="55"/>
      <c r="CI250" s="55"/>
    </row>
    <row r="251" spans="1:87">
      <c r="A251" s="12" t="str">
        <f>Roster!A251</f>
        <v/>
      </c>
      <c r="B251" s="28">
        <f>Roster!C251</f>
        <v>0</v>
      </c>
      <c r="C251" s="28" t="str">
        <f>IF(COUNTIFS(Table36103[[#This Row],[Continue Existing]:[Start New]], "TRUE")=0, "YES", "NO")</f>
        <v>YES</v>
      </c>
      <c r="D251" s="28" t="b">
        <f>COUNTIFS(Table36103[[#This Row],[Screening Results: Drug &amp; Alcohol Assessment 1]:[Other Reason 9]], "Continue with existing treatment services")&gt;0</f>
        <v>0</v>
      </c>
      <c r="E251" s="28" t="b">
        <f>COUNTIFS(Table36103[[#This Row],[Screening Results: Drug &amp; Alcohol Assessment 1]:[Other Reason 9]], "Start new service")&gt;0</f>
        <v>0</v>
      </c>
      <c r="F251" s="55"/>
      <c r="G251" s="56"/>
      <c r="H251" s="57"/>
      <c r="I251" s="57"/>
      <c r="J251" s="57"/>
      <c r="K251" s="57"/>
      <c r="L251" s="57"/>
      <c r="M251" s="57"/>
      <c r="N251" s="45"/>
      <c r="O251" s="58"/>
      <c r="P251" s="56"/>
      <c r="Q251" s="57"/>
      <c r="R251" s="57"/>
      <c r="S251" s="57"/>
      <c r="T251" s="57"/>
      <c r="U251" s="57"/>
      <c r="V251" s="57"/>
      <c r="W251" s="45"/>
      <c r="X251" s="71"/>
      <c r="Y251" s="57"/>
      <c r="Z251" s="57"/>
      <c r="AA251" s="57"/>
      <c r="AB251" s="57"/>
      <c r="AC251" s="57"/>
      <c r="AD251" s="57"/>
      <c r="AE251" s="57"/>
      <c r="AF251" s="57"/>
      <c r="AG251" s="71"/>
      <c r="AH251" s="57"/>
      <c r="AI251" s="57"/>
      <c r="AJ251" s="57"/>
      <c r="AK251" s="57"/>
      <c r="AL251" s="57"/>
      <c r="AM251" s="57"/>
      <c r="AN251" s="57"/>
      <c r="AO251" s="57"/>
      <c r="AP251" s="71"/>
      <c r="AQ251" s="57"/>
      <c r="AR251" s="57"/>
      <c r="AS251" s="57"/>
      <c r="AT251" s="57"/>
      <c r="AU251" s="57"/>
      <c r="AV251" s="57"/>
      <c r="AW251" s="57"/>
      <c r="AX251" s="57"/>
      <c r="AY251" s="71"/>
      <c r="AZ251" s="57"/>
      <c r="BA251" s="55"/>
      <c r="BB251" s="55"/>
      <c r="BC251" s="55"/>
      <c r="BD251" s="55"/>
      <c r="BE251" s="55"/>
      <c r="BF251" s="55"/>
      <c r="BG251" s="57"/>
      <c r="BH251" s="65"/>
      <c r="BI251" s="55"/>
      <c r="BJ251" s="55"/>
      <c r="BK251" s="55"/>
      <c r="BL251" s="55"/>
      <c r="BM251" s="55"/>
      <c r="BN251" s="55"/>
      <c r="BO251" s="55"/>
      <c r="BP251" s="55"/>
      <c r="BQ251" s="65"/>
      <c r="BR251" s="55"/>
      <c r="BS251" s="55"/>
      <c r="BT251" s="55"/>
      <c r="BU251" s="55"/>
      <c r="BV251" s="55"/>
      <c r="BW251" s="55"/>
      <c r="BX251" s="55"/>
      <c r="BY251" s="55"/>
      <c r="BZ251" s="65"/>
      <c r="CA251" s="55"/>
      <c r="CB251" s="55"/>
      <c r="CC251" s="55"/>
      <c r="CD251" s="55"/>
      <c r="CE251" s="55"/>
      <c r="CF251" s="55"/>
      <c r="CG251" s="55"/>
      <c r="CH251" s="55"/>
      <c r="CI251" s="55"/>
    </row>
    <row r="252" spans="1:87">
      <c r="A252" s="12" t="str">
        <f>Roster!A252</f>
        <v/>
      </c>
      <c r="B252" s="28">
        <f>Roster!C252</f>
        <v>0</v>
      </c>
      <c r="C252" s="28" t="str">
        <f>IF(COUNTIFS(Table36103[[#This Row],[Continue Existing]:[Start New]], "TRUE")=0, "YES", "NO")</f>
        <v>YES</v>
      </c>
      <c r="D252" s="28" t="b">
        <f>COUNTIFS(Table36103[[#This Row],[Screening Results: Drug &amp; Alcohol Assessment 1]:[Other Reason 9]], "Continue with existing treatment services")&gt;0</f>
        <v>0</v>
      </c>
      <c r="E252" s="28" t="b">
        <f>COUNTIFS(Table36103[[#This Row],[Screening Results: Drug &amp; Alcohol Assessment 1]:[Other Reason 9]], "Start new service")&gt;0</f>
        <v>0</v>
      </c>
      <c r="F252" s="55"/>
      <c r="G252" s="56"/>
      <c r="H252" s="57"/>
      <c r="I252" s="57"/>
      <c r="J252" s="57"/>
      <c r="K252" s="57"/>
      <c r="L252" s="57"/>
      <c r="M252" s="57"/>
      <c r="N252" s="45"/>
      <c r="O252" s="58"/>
      <c r="P252" s="56"/>
      <c r="Q252" s="57"/>
      <c r="R252" s="57"/>
      <c r="S252" s="57"/>
      <c r="T252" s="57"/>
      <c r="U252" s="57"/>
      <c r="V252" s="57"/>
      <c r="W252" s="45"/>
      <c r="X252" s="71"/>
      <c r="Y252" s="57"/>
      <c r="Z252" s="57"/>
      <c r="AA252" s="57"/>
      <c r="AB252" s="57"/>
      <c r="AC252" s="57"/>
      <c r="AD252" s="57"/>
      <c r="AE252" s="57"/>
      <c r="AF252" s="57"/>
      <c r="AG252" s="71"/>
      <c r="AH252" s="57"/>
      <c r="AI252" s="57"/>
      <c r="AJ252" s="57"/>
      <c r="AK252" s="57"/>
      <c r="AL252" s="57"/>
      <c r="AM252" s="57"/>
      <c r="AN252" s="57"/>
      <c r="AO252" s="57"/>
      <c r="AP252" s="71"/>
      <c r="AQ252" s="57"/>
      <c r="AR252" s="57"/>
      <c r="AS252" s="57"/>
      <c r="AT252" s="57"/>
      <c r="AU252" s="57"/>
      <c r="AV252" s="57"/>
      <c r="AW252" s="57"/>
      <c r="AX252" s="57"/>
      <c r="AY252" s="71"/>
      <c r="AZ252" s="57"/>
      <c r="BA252" s="55"/>
      <c r="BB252" s="55"/>
      <c r="BC252" s="55"/>
      <c r="BD252" s="55"/>
      <c r="BE252" s="55"/>
      <c r="BF252" s="55"/>
      <c r="BG252" s="57"/>
      <c r="BH252" s="65"/>
      <c r="BI252" s="55"/>
      <c r="BJ252" s="55"/>
      <c r="BK252" s="55"/>
      <c r="BL252" s="55"/>
      <c r="BM252" s="55"/>
      <c r="BN252" s="55"/>
      <c r="BO252" s="55"/>
      <c r="BP252" s="55"/>
      <c r="BQ252" s="65"/>
      <c r="BR252" s="55"/>
      <c r="BS252" s="55"/>
      <c r="BT252" s="55"/>
      <c r="BU252" s="55"/>
      <c r="BV252" s="55"/>
      <c r="BW252" s="55"/>
      <c r="BX252" s="55"/>
      <c r="BY252" s="55"/>
      <c r="BZ252" s="65"/>
      <c r="CA252" s="55"/>
      <c r="CB252" s="55"/>
      <c r="CC252" s="55"/>
      <c r="CD252" s="55"/>
      <c r="CE252" s="55"/>
      <c r="CF252" s="55"/>
      <c r="CG252" s="55"/>
      <c r="CH252" s="55"/>
      <c r="CI252" s="55"/>
    </row>
    <row r="253" spans="1:87">
      <c r="A253" s="12" t="str">
        <f>Roster!A253</f>
        <v/>
      </c>
      <c r="B253" s="28">
        <f>Roster!C253</f>
        <v>0</v>
      </c>
      <c r="C253" s="28" t="str">
        <f>IF(COUNTIFS(Table36103[[#This Row],[Continue Existing]:[Start New]], "TRUE")=0, "YES", "NO")</f>
        <v>YES</v>
      </c>
      <c r="D253" s="28" t="b">
        <f>COUNTIFS(Table36103[[#This Row],[Screening Results: Drug &amp; Alcohol Assessment 1]:[Other Reason 9]], "Continue with existing treatment services")&gt;0</f>
        <v>0</v>
      </c>
      <c r="E253" s="28" t="b">
        <f>COUNTIFS(Table36103[[#This Row],[Screening Results: Drug &amp; Alcohol Assessment 1]:[Other Reason 9]], "Start new service")&gt;0</f>
        <v>0</v>
      </c>
      <c r="F253" s="55"/>
      <c r="G253" s="56"/>
      <c r="H253" s="57"/>
      <c r="I253" s="57"/>
      <c r="J253" s="57"/>
      <c r="K253" s="57"/>
      <c r="L253" s="57"/>
      <c r="M253" s="57"/>
      <c r="N253" s="45"/>
      <c r="O253" s="58"/>
      <c r="P253" s="56"/>
      <c r="Q253" s="57"/>
      <c r="R253" s="57"/>
      <c r="S253" s="57"/>
      <c r="T253" s="57"/>
      <c r="U253" s="57"/>
      <c r="V253" s="57"/>
      <c r="W253" s="45"/>
      <c r="X253" s="71"/>
      <c r="Y253" s="57"/>
      <c r="Z253" s="57"/>
      <c r="AA253" s="57"/>
      <c r="AB253" s="57"/>
      <c r="AC253" s="57"/>
      <c r="AD253" s="57"/>
      <c r="AE253" s="57"/>
      <c r="AF253" s="57"/>
      <c r="AG253" s="71"/>
      <c r="AH253" s="57"/>
      <c r="AI253" s="57"/>
      <c r="AJ253" s="57"/>
      <c r="AK253" s="57"/>
      <c r="AL253" s="57"/>
      <c r="AM253" s="57"/>
      <c r="AN253" s="57"/>
      <c r="AO253" s="57"/>
      <c r="AP253" s="71"/>
      <c r="AQ253" s="57"/>
      <c r="AR253" s="57"/>
      <c r="AS253" s="57"/>
      <c r="AT253" s="57"/>
      <c r="AU253" s="57"/>
      <c r="AV253" s="57"/>
      <c r="AW253" s="57"/>
      <c r="AX253" s="57"/>
      <c r="AY253" s="71"/>
      <c r="AZ253" s="57"/>
      <c r="BA253" s="55"/>
      <c r="BB253" s="55"/>
      <c r="BC253" s="55"/>
      <c r="BD253" s="55"/>
      <c r="BE253" s="55"/>
      <c r="BF253" s="55"/>
      <c r="BG253" s="57"/>
      <c r="BH253" s="65"/>
      <c r="BI253" s="55"/>
      <c r="BJ253" s="55"/>
      <c r="BK253" s="55"/>
      <c r="BL253" s="55"/>
      <c r="BM253" s="55"/>
      <c r="BN253" s="55"/>
      <c r="BO253" s="55"/>
      <c r="BP253" s="55"/>
      <c r="BQ253" s="65"/>
      <c r="BR253" s="55"/>
      <c r="BS253" s="55"/>
      <c r="BT253" s="55"/>
      <c r="BU253" s="55"/>
      <c r="BV253" s="55"/>
      <c r="BW253" s="55"/>
      <c r="BX253" s="55"/>
      <c r="BY253" s="55"/>
      <c r="BZ253" s="65"/>
      <c r="CA253" s="55"/>
      <c r="CB253" s="55"/>
      <c r="CC253" s="55"/>
      <c r="CD253" s="55"/>
      <c r="CE253" s="55"/>
      <c r="CF253" s="55"/>
      <c r="CG253" s="55"/>
      <c r="CH253" s="55"/>
      <c r="CI253" s="55"/>
    </row>
    <row r="254" spans="1:87">
      <c r="A254" s="12" t="str">
        <f>Roster!A254</f>
        <v/>
      </c>
      <c r="B254" s="28">
        <f>Roster!C254</f>
        <v>0</v>
      </c>
      <c r="C254" s="28" t="str">
        <f>IF(COUNTIFS(Table36103[[#This Row],[Continue Existing]:[Start New]], "TRUE")=0, "YES", "NO")</f>
        <v>YES</v>
      </c>
      <c r="D254" s="28" t="b">
        <f>COUNTIFS(Table36103[[#This Row],[Screening Results: Drug &amp; Alcohol Assessment 1]:[Other Reason 9]], "Continue with existing treatment services")&gt;0</f>
        <v>0</v>
      </c>
      <c r="E254" s="28" t="b">
        <f>COUNTIFS(Table36103[[#This Row],[Screening Results: Drug &amp; Alcohol Assessment 1]:[Other Reason 9]], "Start new service")&gt;0</f>
        <v>0</v>
      </c>
      <c r="F254" s="55"/>
      <c r="G254" s="56"/>
      <c r="H254" s="57"/>
      <c r="I254" s="57"/>
      <c r="J254" s="57"/>
      <c r="K254" s="57"/>
      <c r="L254" s="57"/>
      <c r="M254" s="57"/>
      <c r="N254" s="45"/>
      <c r="O254" s="58"/>
      <c r="P254" s="56"/>
      <c r="Q254" s="57"/>
      <c r="R254" s="57"/>
      <c r="S254" s="57"/>
      <c r="T254" s="57"/>
      <c r="U254" s="57"/>
      <c r="V254" s="57"/>
      <c r="W254" s="45"/>
      <c r="X254" s="71"/>
      <c r="Y254" s="57"/>
      <c r="Z254" s="57"/>
      <c r="AA254" s="57"/>
      <c r="AB254" s="57"/>
      <c r="AC254" s="57"/>
      <c r="AD254" s="57"/>
      <c r="AE254" s="57"/>
      <c r="AF254" s="57"/>
      <c r="AG254" s="71"/>
      <c r="AH254" s="57"/>
      <c r="AI254" s="57"/>
      <c r="AJ254" s="57"/>
      <c r="AK254" s="57"/>
      <c r="AL254" s="57"/>
      <c r="AM254" s="57"/>
      <c r="AN254" s="57"/>
      <c r="AO254" s="57"/>
      <c r="AP254" s="71"/>
      <c r="AQ254" s="57"/>
      <c r="AR254" s="57"/>
      <c r="AS254" s="57"/>
      <c r="AT254" s="57"/>
      <c r="AU254" s="57"/>
      <c r="AV254" s="57"/>
      <c r="AW254" s="57"/>
      <c r="AX254" s="57"/>
      <c r="AY254" s="71"/>
      <c r="AZ254" s="57"/>
      <c r="BA254" s="55"/>
      <c r="BB254" s="55"/>
      <c r="BC254" s="55"/>
      <c r="BD254" s="55"/>
      <c r="BE254" s="55"/>
      <c r="BF254" s="55"/>
      <c r="BG254" s="57"/>
      <c r="BH254" s="65"/>
      <c r="BI254" s="55"/>
      <c r="BJ254" s="55"/>
      <c r="BK254" s="55"/>
      <c r="BL254" s="55"/>
      <c r="BM254" s="55"/>
      <c r="BN254" s="55"/>
      <c r="BO254" s="55"/>
      <c r="BP254" s="55"/>
      <c r="BQ254" s="65"/>
      <c r="BR254" s="55"/>
      <c r="BS254" s="55"/>
      <c r="BT254" s="55"/>
      <c r="BU254" s="55"/>
      <c r="BV254" s="55"/>
      <c r="BW254" s="55"/>
      <c r="BX254" s="55"/>
      <c r="BY254" s="55"/>
      <c r="BZ254" s="65"/>
      <c r="CA254" s="55"/>
      <c r="CB254" s="55"/>
      <c r="CC254" s="55"/>
      <c r="CD254" s="55"/>
      <c r="CE254" s="55"/>
      <c r="CF254" s="55"/>
      <c r="CG254" s="55"/>
      <c r="CH254" s="55"/>
      <c r="CI254" s="55"/>
    </row>
    <row r="255" spans="1:87">
      <c r="A255" s="12" t="str">
        <f>Roster!A255</f>
        <v/>
      </c>
      <c r="B255" s="28">
        <f>Roster!C255</f>
        <v>0</v>
      </c>
      <c r="C255" s="28" t="str">
        <f>IF(COUNTIFS(Table36103[[#This Row],[Continue Existing]:[Start New]], "TRUE")=0, "YES", "NO")</f>
        <v>YES</v>
      </c>
      <c r="D255" s="28" t="b">
        <f>COUNTIFS(Table36103[[#This Row],[Screening Results: Drug &amp; Alcohol Assessment 1]:[Other Reason 9]], "Continue with existing treatment services")&gt;0</f>
        <v>0</v>
      </c>
      <c r="E255" s="28" t="b">
        <f>COUNTIFS(Table36103[[#This Row],[Screening Results: Drug &amp; Alcohol Assessment 1]:[Other Reason 9]], "Start new service")&gt;0</f>
        <v>0</v>
      </c>
      <c r="F255" s="55"/>
      <c r="G255" s="56"/>
      <c r="H255" s="57"/>
      <c r="I255" s="57"/>
      <c r="J255" s="57"/>
      <c r="K255" s="57"/>
      <c r="L255" s="57"/>
      <c r="M255" s="57"/>
      <c r="N255" s="45"/>
      <c r="O255" s="58"/>
      <c r="P255" s="56"/>
      <c r="Q255" s="57"/>
      <c r="R255" s="57"/>
      <c r="S255" s="57"/>
      <c r="T255" s="57"/>
      <c r="U255" s="57"/>
      <c r="V255" s="57"/>
      <c r="W255" s="45"/>
      <c r="X255" s="71"/>
      <c r="Y255" s="57"/>
      <c r="Z255" s="57"/>
      <c r="AA255" s="57"/>
      <c r="AB255" s="57"/>
      <c r="AC255" s="57"/>
      <c r="AD255" s="57"/>
      <c r="AE255" s="57"/>
      <c r="AF255" s="57"/>
      <c r="AG255" s="71"/>
      <c r="AH255" s="57"/>
      <c r="AI255" s="57"/>
      <c r="AJ255" s="57"/>
      <c r="AK255" s="57"/>
      <c r="AL255" s="57"/>
      <c r="AM255" s="57"/>
      <c r="AN255" s="57"/>
      <c r="AO255" s="57"/>
      <c r="AP255" s="71"/>
      <c r="AQ255" s="57"/>
      <c r="AR255" s="57"/>
      <c r="AS255" s="57"/>
      <c r="AT255" s="57"/>
      <c r="AU255" s="57"/>
      <c r="AV255" s="57"/>
      <c r="AW255" s="57"/>
      <c r="AX255" s="57"/>
      <c r="AY255" s="71"/>
      <c r="AZ255" s="57"/>
      <c r="BA255" s="55"/>
      <c r="BB255" s="55"/>
      <c r="BC255" s="55"/>
      <c r="BD255" s="55"/>
      <c r="BE255" s="55"/>
      <c r="BF255" s="55"/>
      <c r="BG255" s="57"/>
      <c r="BH255" s="65"/>
      <c r="BI255" s="55"/>
      <c r="BJ255" s="55"/>
      <c r="BK255" s="55"/>
      <c r="BL255" s="55"/>
      <c r="BM255" s="55"/>
      <c r="BN255" s="55"/>
      <c r="BO255" s="55"/>
      <c r="BP255" s="55"/>
      <c r="BQ255" s="65"/>
      <c r="BR255" s="55"/>
      <c r="BS255" s="55"/>
      <c r="BT255" s="55"/>
      <c r="BU255" s="55"/>
      <c r="BV255" s="55"/>
      <c r="BW255" s="55"/>
      <c r="BX255" s="55"/>
      <c r="BY255" s="55"/>
      <c r="BZ255" s="65"/>
      <c r="CA255" s="55"/>
      <c r="CB255" s="55"/>
      <c r="CC255" s="55"/>
      <c r="CD255" s="55"/>
      <c r="CE255" s="55"/>
      <c r="CF255" s="55"/>
      <c r="CG255" s="55"/>
      <c r="CH255" s="55"/>
      <c r="CI255" s="55"/>
    </row>
    <row r="256" spans="1:87">
      <c r="A256" s="12" t="str">
        <f>Roster!A256</f>
        <v/>
      </c>
      <c r="B256" s="28">
        <f>Roster!C256</f>
        <v>0</v>
      </c>
      <c r="C256" s="28" t="str">
        <f>IF(COUNTIFS(Table36103[[#This Row],[Continue Existing]:[Start New]], "TRUE")=0, "YES", "NO")</f>
        <v>YES</v>
      </c>
      <c r="D256" s="28" t="b">
        <f>COUNTIFS(Table36103[[#This Row],[Screening Results: Drug &amp; Alcohol Assessment 1]:[Other Reason 9]], "Continue with existing treatment services")&gt;0</f>
        <v>0</v>
      </c>
      <c r="E256" s="28" t="b">
        <f>COUNTIFS(Table36103[[#This Row],[Screening Results: Drug &amp; Alcohol Assessment 1]:[Other Reason 9]], "Start new service")&gt;0</f>
        <v>0</v>
      </c>
      <c r="F256" s="55"/>
      <c r="G256" s="56"/>
      <c r="H256" s="57"/>
      <c r="I256" s="57"/>
      <c r="J256" s="57"/>
      <c r="K256" s="57"/>
      <c r="L256" s="57"/>
      <c r="M256" s="57"/>
      <c r="N256" s="45"/>
      <c r="O256" s="58"/>
      <c r="P256" s="56"/>
      <c r="Q256" s="57"/>
      <c r="R256" s="57"/>
      <c r="S256" s="57"/>
      <c r="T256" s="57"/>
      <c r="U256" s="57"/>
      <c r="V256" s="57"/>
      <c r="W256" s="45"/>
      <c r="X256" s="71"/>
      <c r="Y256" s="57"/>
      <c r="Z256" s="57"/>
      <c r="AA256" s="57"/>
      <c r="AB256" s="57"/>
      <c r="AC256" s="57"/>
      <c r="AD256" s="57"/>
      <c r="AE256" s="57"/>
      <c r="AF256" s="57"/>
      <c r="AG256" s="71"/>
      <c r="AH256" s="57"/>
      <c r="AI256" s="57"/>
      <c r="AJ256" s="57"/>
      <c r="AK256" s="57"/>
      <c r="AL256" s="57"/>
      <c r="AM256" s="57"/>
      <c r="AN256" s="57"/>
      <c r="AO256" s="57"/>
      <c r="AP256" s="71"/>
      <c r="AQ256" s="57"/>
      <c r="AR256" s="57"/>
      <c r="AS256" s="57"/>
      <c r="AT256" s="57"/>
      <c r="AU256" s="57"/>
      <c r="AV256" s="57"/>
      <c r="AW256" s="57"/>
      <c r="AX256" s="57"/>
      <c r="AY256" s="71"/>
      <c r="AZ256" s="57"/>
      <c r="BA256" s="55"/>
      <c r="BB256" s="55"/>
      <c r="BC256" s="55"/>
      <c r="BD256" s="55"/>
      <c r="BE256" s="55"/>
      <c r="BF256" s="55"/>
      <c r="BG256" s="57"/>
      <c r="BH256" s="65"/>
      <c r="BI256" s="55"/>
      <c r="BJ256" s="55"/>
      <c r="BK256" s="55"/>
      <c r="BL256" s="55"/>
      <c r="BM256" s="55"/>
      <c r="BN256" s="55"/>
      <c r="BO256" s="55"/>
      <c r="BP256" s="55"/>
      <c r="BQ256" s="65"/>
      <c r="BR256" s="55"/>
      <c r="BS256" s="55"/>
      <c r="BT256" s="55"/>
      <c r="BU256" s="55"/>
      <c r="BV256" s="55"/>
      <c r="BW256" s="55"/>
      <c r="BX256" s="55"/>
      <c r="BY256" s="55"/>
      <c r="BZ256" s="65"/>
      <c r="CA256" s="55"/>
      <c r="CB256" s="55"/>
      <c r="CC256" s="55"/>
      <c r="CD256" s="55"/>
      <c r="CE256" s="55"/>
      <c r="CF256" s="55"/>
      <c r="CG256" s="55"/>
      <c r="CH256" s="55"/>
      <c r="CI256" s="55"/>
    </row>
    <row r="257" spans="1:87">
      <c r="A257" s="12" t="str">
        <f>Roster!A257</f>
        <v/>
      </c>
      <c r="B257" s="28">
        <f>Roster!C257</f>
        <v>0</v>
      </c>
      <c r="C257" s="28" t="str">
        <f>IF(COUNTIFS(Table36103[[#This Row],[Continue Existing]:[Start New]], "TRUE")=0, "YES", "NO")</f>
        <v>YES</v>
      </c>
      <c r="D257" s="28" t="b">
        <f>COUNTIFS(Table36103[[#This Row],[Screening Results: Drug &amp; Alcohol Assessment 1]:[Other Reason 9]], "Continue with existing treatment services")&gt;0</f>
        <v>0</v>
      </c>
      <c r="E257" s="28" t="b">
        <f>COUNTIFS(Table36103[[#This Row],[Screening Results: Drug &amp; Alcohol Assessment 1]:[Other Reason 9]], "Start new service")&gt;0</f>
        <v>0</v>
      </c>
      <c r="F257" s="55"/>
      <c r="G257" s="56"/>
      <c r="H257" s="57"/>
      <c r="I257" s="57"/>
      <c r="J257" s="57"/>
      <c r="K257" s="57"/>
      <c r="L257" s="57"/>
      <c r="M257" s="57"/>
      <c r="N257" s="45"/>
      <c r="O257" s="58"/>
      <c r="P257" s="56"/>
      <c r="Q257" s="57"/>
      <c r="R257" s="57"/>
      <c r="S257" s="57"/>
      <c r="T257" s="57"/>
      <c r="U257" s="57"/>
      <c r="V257" s="57"/>
      <c r="W257" s="45"/>
      <c r="X257" s="71"/>
      <c r="Y257" s="57"/>
      <c r="Z257" s="57"/>
      <c r="AA257" s="57"/>
      <c r="AB257" s="57"/>
      <c r="AC257" s="57"/>
      <c r="AD257" s="57"/>
      <c r="AE257" s="57"/>
      <c r="AF257" s="57"/>
      <c r="AG257" s="71"/>
      <c r="AH257" s="57"/>
      <c r="AI257" s="57"/>
      <c r="AJ257" s="57"/>
      <c r="AK257" s="57"/>
      <c r="AL257" s="57"/>
      <c r="AM257" s="57"/>
      <c r="AN257" s="57"/>
      <c r="AO257" s="57"/>
      <c r="AP257" s="71"/>
      <c r="AQ257" s="57"/>
      <c r="AR257" s="57"/>
      <c r="AS257" s="57"/>
      <c r="AT257" s="57"/>
      <c r="AU257" s="57"/>
      <c r="AV257" s="57"/>
      <c r="AW257" s="57"/>
      <c r="AX257" s="57"/>
      <c r="AY257" s="71"/>
      <c r="AZ257" s="57"/>
      <c r="BA257" s="55"/>
      <c r="BB257" s="55"/>
      <c r="BC257" s="55"/>
      <c r="BD257" s="55"/>
      <c r="BE257" s="55"/>
      <c r="BF257" s="55"/>
      <c r="BG257" s="57"/>
      <c r="BH257" s="65"/>
      <c r="BI257" s="55"/>
      <c r="BJ257" s="55"/>
      <c r="BK257" s="55"/>
      <c r="BL257" s="55"/>
      <c r="BM257" s="55"/>
      <c r="BN257" s="55"/>
      <c r="BO257" s="55"/>
      <c r="BP257" s="55"/>
      <c r="BQ257" s="65"/>
      <c r="BR257" s="55"/>
      <c r="BS257" s="55"/>
      <c r="BT257" s="55"/>
      <c r="BU257" s="55"/>
      <c r="BV257" s="55"/>
      <c r="BW257" s="55"/>
      <c r="BX257" s="55"/>
      <c r="BY257" s="55"/>
      <c r="BZ257" s="65"/>
      <c r="CA257" s="55"/>
      <c r="CB257" s="55"/>
      <c r="CC257" s="55"/>
      <c r="CD257" s="55"/>
      <c r="CE257" s="55"/>
      <c r="CF257" s="55"/>
      <c r="CG257" s="55"/>
      <c r="CH257" s="55"/>
      <c r="CI257" s="55"/>
    </row>
    <row r="258" spans="1:87">
      <c r="A258" s="12" t="str">
        <f>Roster!A258</f>
        <v/>
      </c>
      <c r="B258" s="28">
        <f>Roster!C258</f>
        <v>0</v>
      </c>
      <c r="C258" s="28" t="str">
        <f>IF(COUNTIFS(Table36103[[#This Row],[Continue Existing]:[Start New]], "TRUE")=0, "YES", "NO")</f>
        <v>YES</v>
      </c>
      <c r="D258" s="28" t="b">
        <f>COUNTIFS(Table36103[[#This Row],[Screening Results: Drug &amp; Alcohol Assessment 1]:[Other Reason 9]], "Continue with existing treatment services")&gt;0</f>
        <v>0</v>
      </c>
      <c r="E258" s="28" t="b">
        <f>COUNTIFS(Table36103[[#This Row],[Screening Results: Drug &amp; Alcohol Assessment 1]:[Other Reason 9]], "Start new service")&gt;0</f>
        <v>0</v>
      </c>
      <c r="F258" s="55"/>
      <c r="G258" s="56"/>
      <c r="H258" s="57"/>
      <c r="I258" s="57"/>
      <c r="J258" s="57"/>
      <c r="K258" s="57"/>
      <c r="L258" s="57"/>
      <c r="M258" s="57"/>
      <c r="N258" s="45"/>
      <c r="O258" s="58"/>
      <c r="P258" s="56"/>
      <c r="Q258" s="57"/>
      <c r="R258" s="57"/>
      <c r="S258" s="57"/>
      <c r="T258" s="57"/>
      <c r="U258" s="57"/>
      <c r="V258" s="57"/>
      <c r="W258" s="45"/>
      <c r="X258" s="71"/>
      <c r="Y258" s="57"/>
      <c r="Z258" s="57"/>
      <c r="AA258" s="57"/>
      <c r="AB258" s="57"/>
      <c r="AC258" s="57"/>
      <c r="AD258" s="57"/>
      <c r="AE258" s="57"/>
      <c r="AF258" s="57"/>
      <c r="AG258" s="71"/>
      <c r="AH258" s="57"/>
      <c r="AI258" s="57"/>
      <c r="AJ258" s="57"/>
      <c r="AK258" s="57"/>
      <c r="AL258" s="57"/>
      <c r="AM258" s="57"/>
      <c r="AN258" s="57"/>
      <c r="AO258" s="57"/>
      <c r="AP258" s="71"/>
      <c r="AQ258" s="57"/>
      <c r="AR258" s="57"/>
      <c r="AS258" s="57"/>
      <c r="AT258" s="57"/>
      <c r="AU258" s="57"/>
      <c r="AV258" s="57"/>
      <c r="AW258" s="57"/>
      <c r="AX258" s="57"/>
      <c r="AY258" s="71"/>
      <c r="AZ258" s="57"/>
      <c r="BA258" s="55"/>
      <c r="BB258" s="55"/>
      <c r="BC258" s="55"/>
      <c r="BD258" s="55"/>
      <c r="BE258" s="55"/>
      <c r="BF258" s="55"/>
      <c r="BG258" s="57"/>
      <c r="BH258" s="65"/>
      <c r="BI258" s="55"/>
      <c r="BJ258" s="55"/>
      <c r="BK258" s="55"/>
      <c r="BL258" s="55"/>
      <c r="BM258" s="55"/>
      <c r="BN258" s="55"/>
      <c r="BO258" s="55"/>
      <c r="BP258" s="55"/>
      <c r="BQ258" s="65"/>
      <c r="BR258" s="55"/>
      <c r="BS258" s="55"/>
      <c r="BT258" s="55"/>
      <c r="BU258" s="55"/>
      <c r="BV258" s="55"/>
      <c r="BW258" s="55"/>
      <c r="BX258" s="55"/>
      <c r="BY258" s="55"/>
      <c r="BZ258" s="65"/>
      <c r="CA258" s="55"/>
      <c r="CB258" s="55"/>
      <c r="CC258" s="55"/>
      <c r="CD258" s="55"/>
      <c r="CE258" s="55"/>
      <c r="CF258" s="55"/>
      <c r="CG258" s="55"/>
      <c r="CH258" s="55"/>
      <c r="CI258" s="55"/>
    </row>
    <row r="259" spans="1:87">
      <c r="A259" s="12" t="str">
        <f>Roster!A259</f>
        <v/>
      </c>
      <c r="B259" s="28">
        <f>Roster!C259</f>
        <v>0</v>
      </c>
      <c r="C259" s="28" t="str">
        <f>IF(COUNTIFS(Table36103[[#This Row],[Continue Existing]:[Start New]], "TRUE")=0, "YES", "NO")</f>
        <v>YES</v>
      </c>
      <c r="D259" s="28" t="b">
        <f>COUNTIFS(Table36103[[#This Row],[Screening Results: Drug &amp; Alcohol Assessment 1]:[Other Reason 9]], "Continue with existing treatment services")&gt;0</f>
        <v>0</v>
      </c>
      <c r="E259" s="28" t="b">
        <f>COUNTIFS(Table36103[[#This Row],[Screening Results: Drug &amp; Alcohol Assessment 1]:[Other Reason 9]], "Start new service")&gt;0</f>
        <v>0</v>
      </c>
      <c r="F259" s="55"/>
      <c r="G259" s="56"/>
      <c r="H259" s="57"/>
      <c r="I259" s="57"/>
      <c r="J259" s="57"/>
      <c r="K259" s="57"/>
      <c r="L259" s="57"/>
      <c r="M259" s="57"/>
      <c r="N259" s="45"/>
      <c r="O259" s="58"/>
      <c r="P259" s="56"/>
      <c r="Q259" s="57"/>
      <c r="R259" s="57"/>
      <c r="S259" s="57"/>
      <c r="T259" s="57"/>
      <c r="U259" s="57"/>
      <c r="V259" s="57"/>
      <c r="W259" s="45"/>
      <c r="X259" s="71"/>
      <c r="Y259" s="57"/>
      <c r="Z259" s="57"/>
      <c r="AA259" s="57"/>
      <c r="AB259" s="57"/>
      <c r="AC259" s="57"/>
      <c r="AD259" s="57"/>
      <c r="AE259" s="57"/>
      <c r="AF259" s="57"/>
      <c r="AG259" s="71"/>
      <c r="AH259" s="57"/>
      <c r="AI259" s="57"/>
      <c r="AJ259" s="57"/>
      <c r="AK259" s="57"/>
      <c r="AL259" s="57"/>
      <c r="AM259" s="57"/>
      <c r="AN259" s="57"/>
      <c r="AO259" s="57"/>
      <c r="AP259" s="71"/>
      <c r="AQ259" s="57"/>
      <c r="AR259" s="57"/>
      <c r="AS259" s="57"/>
      <c r="AT259" s="57"/>
      <c r="AU259" s="57"/>
      <c r="AV259" s="57"/>
      <c r="AW259" s="57"/>
      <c r="AX259" s="57"/>
      <c r="AY259" s="71"/>
      <c r="AZ259" s="57"/>
      <c r="BA259" s="55"/>
      <c r="BB259" s="55"/>
      <c r="BC259" s="55"/>
      <c r="BD259" s="55"/>
      <c r="BE259" s="55"/>
      <c r="BF259" s="55"/>
      <c r="BG259" s="57"/>
      <c r="BH259" s="65"/>
      <c r="BI259" s="55"/>
      <c r="BJ259" s="55"/>
      <c r="BK259" s="55"/>
      <c r="BL259" s="55"/>
      <c r="BM259" s="55"/>
      <c r="BN259" s="55"/>
      <c r="BO259" s="55"/>
      <c r="BP259" s="55"/>
      <c r="BQ259" s="65"/>
      <c r="BR259" s="55"/>
      <c r="BS259" s="55"/>
      <c r="BT259" s="55"/>
      <c r="BU259" s="55"/>
      <c r="BV259" s="55"/>
      <c r="BW259" s="55"/>
      <c r="BX259" s="55"/>
      <c r="BY259" s="55"/>
      <c r="BZ259" s="65"/>
      <c r="CA259" s="55"/>
      <c r="CB259" s="55"/>
      <c r="CC259" s="55"/>
      <c r="CD259" s="55"/>
      <c r="CE259" s="55"/>
      <c r="CF259" s="55"/>
      <c r="CG259" s="55"/>
      <c r="CH259" s="55"/>
      <c r="CI259" s="55"/>
    </row>
    <row r="260" spans="1:87">
      <c r="A260" s="12" t="str">
        <f>Roster!A260</f>
        <v/>
      </c>
      <c r="B260" s="28">
        <f>Roster!C260</f>
        <v>0</v>
      </c>
      <c r="C260" s="28" t="str">
        <f>IF(COUNTIFS(Table36103[[#This Row],[Continue Existing]:[Start New]], "TRUE")=0, "YES", "NO")</f>
        <v>YES</v>
      </c>
      <c r="D260" s="28" t="b">
        <f>COUNTIFS(Table36103[[#This Row],[Screening Results: Drug &amp; Alcohol Assessment 1]:[Other Reason 9]], "Continue with existing treatment services")&gt;0</f>
        <v>0</v>
      </c>
      <c r="E260" s="28" t="b">
        <f>COUNTIFS(Table36103[[#This Row],[Screening Results: Drug &amp; Alcohol Assessment 1]:[Other Reason 9]], "Start new service")&gt;0</f>
        <v>0</v>
      </c>
      <c r="F260" s="55"/>
      <c r="G260" s="56"/>
      <c r="H260" s="57"/>
      <c r="I260" s="57"/>
      <c r="J260" s="57"/>
      <c r="K260" s="57"/>
      <c r="L260" s="57"/>
      <c r="M260" s="57"/>
      <c r="N260" s="45"/>
      <c r="O260" s="58"/>
      <c r="P260" s="56"/>
      <c r="Q260" s="57"/>
      <c r="R260" s="57"/>
      <c r="S260" s="57"/>
      <c r="T260" s="57"/>
      <c r="U260" s="57"/>
      <c r="V260" s="57"/>
      <c r="W260" s="45"/>
      <c r="X260" s="71"/>
      <c r="Y260" s="57"/>
      <c r="Z260" s="57"/>
      <c r="AA260" s="57"/>
      <c r="AB260" s="57"/>
      <c r="AC260" s="57"/>
      <c r="AD260" s="57"/>
      <c r="AE260" s="57"/>
      <c r="AF260" s="57"/>
      <c r="AG260" s="71"/>
      <c r="AH260" s="57"/>
      <c r="AI260" s="57"/>
      <c r="AJ260" s="57"/>
      <c r="AK260" s="57"/>
      <c r="AL260" s="57"/>
      <c r="AM260" s="57"/>
      <c r="AN260" s="57"/>
      <c r="AO260" s="57"/>
      <c r="AP260" s="71"/>
      <c r="AQ260" s="57"/>
      <c r="AR260" s="57"/>
      <c r="AS260" s="57"/>
      <c r="AT260" s="57"/>
      <c r="AU260" s="57"/>
      <c r="AV260" s="57"/>
      <c r="AW260" s="57"/>
      <c r="AX260" s="57"/>
      <c r="AY260" s="71"/>
      <c r="AZ260" s="57"/>
      <c r="BA260" s="55"/>
      <c r="BB260" s="55"/>
      <c r="BC260" s="55"/>
      <c r="BD260" s="55"/>
      <c r="BE260" s="55"/>
      <c r="BF260" s="55"/>
      <c r="BG260" s="57"/>
      <c r="BH260" s="65"/>
      <c r="BI260" s="55"/>
      <c r="BJ260" s="55"/>
      <c r="BK260" s="55"/>
      <c r="BL260" s="55"/>
      <c r="BM260" s="55"/>
      <c r="BN260" s="55"/>
      <c r="BO260" s="55"/>
      <c r="BP260" s="55"/>
      <c r="BQ260" s="65"/>
      <c r="BR260" s="55"/>
      <c r="BS260" s="55"/>
      <c r="BT260" s="55"/>
      <c r="BU260" s="55"/>
      <c r="BV260" s="55"/>
      <c r="BW260" s="55"/>
      <c r="BX260" s="55"/>
      <c r="BY260" s="55"/>
      <c r="BZ260" s="65"/>
      <c r="CA260" s="55"/>
      <c r="CB260" s="55"/>
      <c r="CC260" s="55"/>
      <c r="CD260" s="55"/>
      <c r="CE260" s="55"/>
      <c r="CF260" s="55"/>
      <c r="CG260" s="55"/>
      <c r="CH260" s="55"/>
      <c r="CI260" s="55"/>
    </row>
    <row r="261" spans="1:87">
      <c r="A261" s="12" t="str">
        <f>Roster!A261</f>
        <v/>
      </c>
      <c r="B261" s="28">
        <f>Roster!C261</f>
        <v>0</v>
      </c>
      <c r="C261" s="28" t="str">
        <f>IF(COUNTIFS(Table36103[[#This Row],[Continue Existing]:[Start New]], "TRUE")=0, "YES", "NO")</f>
        <v>YES</v>
      </c>
      <c r="D261" s="28" t="b">
        <f>COUNTIFS(Table36103[[#This Row],[Screening Results: Drug &amp; Alcohol Assessment 1]:[Other Reason 9]], "Continue with existing treatment services")&gt;0</f>
        <v>0</v>
      </c>
      <c r="E261" s="28" t="b">
        <f>COUNTIFS(Table36103[[#This Row],[Screening Results: Drug &amp; Alcohol Assessment 1]:[Other Reason 9]], "Start new service")&gt;0</f>
        <v>0</v>
      </c>
      <c r="F261" s="55"/>
      <c r="G261" s="56"/>
      <c r="H261" s="57"/>
      <c r="I261" s="57"/>
      <c r="J261" s="57"/>
      <c r="K261" s="57"/>
      <c r="L261" s="57"/>
      <c r="M261" s="57"/>
      <c r="N261" s="45"/>
      <c r="O261" s="58"/>
      <c r="P261" s="56"/>
      <c r="Q261" s="57"/>
      <c r="R261" s="57"/>
      <c r="S261" s="57"/>
      <c r="T261" s="57"/>
      <c r="U261" s="57"/>
      <c r="V261" s="57"/>
      <c r="W261" s="45"/>
      <c r="X261" s="71"/>
      <c r="Y261" s="57"/>
      <c r="Z261" s="57"/>
      <c r="AA261" s="57"/>
      <c r="AB261" s="57"/>
      <c r="AC261" s="57"/>
      <c r="AD261" s="57"/>
      <c r="AE261" s="57"/>
      <c r="AF261" s="57"/>
      <c r="AG261" s="71"/>
      <c r="AH261" s="57"/>
      <c r="AI261" s="57"/>
      <c r="AJ261" s="57"/>
      <c r="AK261" s="57"/>
      <c r="AL261" s="57"/>
      <c r="AM261" s="57"/>
      <c r="AN261" s="57"/>
      <c r="AO261" s="57"/>
      <c r="AP261" s="71"/>
      <c r="AQ261" s="57"/>
      <c r="AR261" s="57"/>
      <c r="AS261" s="57"/>
      <c r="AT261" s="57"/>
      <c r="AU261" s="57"/>
      <c r="AV261" s="57"/>
      <c r="AW261" s="57"/>
      <c r="AX261" s="57"/>
      <c r="AY261" s="71"/>
      <c r="AZ261" s="57"/>
      <c r="BA261" s="55"/>
      <c r="BB261" s="55"/>
      <c r="BC261" s="55"/>
      <c r="BD261" s="55"/>
      <c r="BE261" s="55"/>
      <c r="BF261" s="55"/>
      <c r="BG261" s="57"/>
      <c r="BH261" s="65"/>
      <c r="BI261" s="55"/>
      <c r="BJ261" s="55"/>
      <c r="BK261" s="55"/>
      <c r="BL261" s="55"/>
      <c r="BM261" s="55"/>
      <c r="BN261" s="55"/>
      <c r="BO261" s="55"/>
      <c r="BP261" s="55"/>
      <c r="BQ261" s="65"/>
      <c r="BR261" s="55"/>
      <c r="BS261" s="55"/>
      <c r="BT261" s="55"/>
      <c r="BU261" s="55"/>
      <c r="BV261" s="55"/>
      <c r="BW261" s="55"/>
      <c r="BX261" s="55"/>
      <c r="BY261" s="55"/>
      <c r="BZ261" s="65"/>
      <c r="CA261" s="55"/>
      <c r="CB261" s="55"/>
      <c r="CC261" s="55"/>
      <c r="CD261" s="55"/>
      <c r="CE261" s="55"/>
      <c r="CF261" s="55"/>
      <c r="CG261" s="55"/>
      <c r="CH261" s="55"/>
      <c r="CI261" s="55"/>
    </row>
    <row r="262" spans="1:87">
      <c r="A262" s="12" t="str">
        <f>Roster!A262</f>
        <v/>
      </c>
      <c r="B262" s="28">
        <f>Roster!C262</f>
        <v>0</v>
      </c>
      <c r="C262" s="28" t="str">
        <f>IF(COUNTIFS(Table36103[[#This Row],[Continue Existing]:[Start New]], "TRUE")=0, "YES", "NO")</f>
        <v>YES</v>
      </c>
      <c r="D262" s="28" t="b">
        <f>COUNTIFS(Table36103[[#This Row],[Screening Results: Drug &amp; Alcohol Assessment 1]:[Other Reason 9]], "Continue with existing treatment services")&gt;0</f>
        <v>0</v>
      </c>
      <c r="E262" s="28" t="b">
        <f>COUNTIFS(Table36103[[#This Row],[Screening Results: Drug &amp; Alcohol Assessment 1]:[Other Reason 9]], "Start new service")&gt;0</f>
        <v>0</v>
      </c>
      <c r="F262" s="55"/>
      <c r="G262" s="56"/>
      <c r="H262" s="57"/>
      <c r="I262" s="57"/>
      <c r="J262" s="57"/>
      <c r="K262" s="57"/>
      <c r="L262" s="57"/>
      <c r="M262" s="57"/>
      <c r="N262" s="45"/>
      <c r="O262" s="58"/>
      <c r="P262" s="56"/>
      <c r="Q262" s="57"/>
      <c r="R262" s="57"/>
      <c r="S262" s="57"/>
      <c r="T262" s="57"/>
      <c r="U262" s="57"/>
      <c r="V262" s="57"/>
      <c r="W262" s="45"/>
      <c r="X262" s="71"/>
      <c r="Y262" s="57"/>
      <c r="Z262" s="57"/>
      <c r="AA262" s="57"/>
      <c r="AB262" s="57"/>
      <c r="AC262" s="57"/>
      <c r="AD262" s="57"/>
      <c r="AE262" s="57"/>
      <c r="AF262" s="57"/>
      <c r="AG262" s="71"/>
      <c r="AH262" s="57"/>
      <c r="AI262" s="57"/>
      <c r="AJ262" s="57"/>
      <c r="AK262" s="57"/>
      <c r="AL262" s="57"/>
      <c r="AM262" s="57"/>
      <c r="AN262" s="57"/>
      <c r="AO262" s="57"/>
      <c r="AP262" s="71"/>
      <c r="AQ262" s="57"/>
      <c r="AR262" s="57"/>
      <c r="AS262" s="57"/>
      <c r="AT262" s="57"/>
      <c r="AU262" s="57"/>
      <c r="AV262" s="57"/>
      <c r="AW262" s="57"/>
      <c r="AX262" s="57"/>
      <c r="AY262" s="71"/>
      <c r="AZ262" s="57"/>
      <c r="BA262" s="55"/>
      <c r="BB262" s="55"/>
      <c r="BC262" s="55"/>
      <c r="BD262" s="55"/>
      <c r="BE262" s="55"/>
      <c r="BF262" s="55"/>
      <c r="BG262" s="57"/>
      <c r="BH262" s="65"/>
      <c r="BI262" s="55"/>
      <c r="BJ262" s="55"/>
      <c r="BK262" s="55"/>
      <c r="BL262" s="55"/>
      <c r="BM262" s="55"/>
      <c r="BN262" s="55"/>
      <c r="BO262" s="55"/>
      <c r="BP262" s="55"/>
      <c r="BQ262" s="65"/>
      <c r="BR262" s="55"/>
      <c r="BS262" s="55"/>
      <c r="BT262" s="55"/>
      <c r="BU262" s="55"/>
      <c r="BV262" s="55"/>
      <c r="BW262" s="55"/>
      <c r="BX262" s="55"/>
      <c r="BY262" s="55"/>
      <c r="BZ262" s="65"/>
      <c r="CA262" s="55"/>
      <c r="CB262" s="55"/>
      <c r="CC262" s="55"/>
      <c r="CD262" s="55"/>
      <c r="CE262" s="55"/>
      <c r="CF262" s="55"/>
      <c r="CG262" s="55"/>
      <c r="CH262" s="55"/>
      <c r="CI262" s="55"/>
    </row>
    <row r="263" spans="1:87">
      <c r="A263" s="12" t="str">
        <f>Roster!A263</f>
        <v/>
      </c>
      <c r="B263" s="28">
        <f>Roster!C263</f>
        <v>0</v>
      </c>
      <c r="C263" s="28" t="str">
        <f>IF(COUNTIFS(Table36103[[#This Row],[Continue Existing]:[Start New]], "TRUE")=0, "YES", "NO")</f>
        <v>YES</v>
      </c>
      <c r="D263" s="28" t="b">
        <f>COUNTIFS(Table36103[[#This Row],[Screening Results: Drug &amp; Alcohol Assessment 1]:[Other Reason 9]], "Continue with existing treatment services")&gt;0</f>
        <v>0</v>
      </c>
      <c r="E263" s="28" t="b">
        <f>COUNTIFS(Table36103[[#This Row],[Screening Results: Drug &amp; Alcohol Assessment 1]:[Other Reason 9]], "Start new service")&gt;0</f>
        <v>0</v>
      </c>
      <c r="F263" s="55"/>
      <c r="G263" s="56"/>
      <c r="H263" s="57"/>
      <c r="I263" s="57"/>
      <c r="J263" s="57"/>
      <c r="K263" s="57"/>
      <c r="L263" s="57"/>
      <c r="M263" s="57"/>
      <c r="N263" s="45"/>
      <c r="O263" s="58"/>
      <c r="P263" s="56"/>
      <c r="Q263" s="57"/>
      <c r="R263" s="57"/>
      <c r="S263" s="57"/>
      <c r="T263" s="57"/>
      <c r="U263" s="57"/>
      <c r="V263" s="57"/>
      <c r="W263" s="45"/>
      <c r="X263" s="71"/>
      <c r="Y263" s="57"/>
      <c r="Z263" s="57"/>
      <c r="AA263" s="57"/>
      <c r="AB263" s="57"/>
      <c r="AC263" s="57"/>
      <c r="AD263" s="57"/>
      <c r="AE263" s="57"/>
      <c r="AF263" s="57"/>
      <c r="AG263" s="71"/>
      <c r="AH263" s="57"/>
      <c r="AI263" s="57"/>
      <c r="AJ263" s="57"/>
      <c r="AK263" s="57"/>
      <c r="AL263" s="57"/>
      <c r="AM263" s="57"/>
      <c r="AN263" s="57"/>
      <c r="AO263" s="57"/>
      <c r="AP263" s="71"/>
      <c r="AQ263" s="57"/>
      <c r="AR263" s="57"/>
      <c r="AS263" s="57"/>
      <c r="AT263" s="57"/>
      <c r="AU263" s="57"/>
      <c r="AV263" s="57"/>
      <c r="AW263" s="57"/>
      <c r="AX263" s="57"/>
      <c r="AY263" s="71"/>
      <c r="AZ263" s="57"/>
      <c r="BA263" s="55"/>
      <c r="BB263" s="55"/>
      <c r="BC263" s="55"/>
      <c r="BD263" s="55"/>
      <c r="BE263" s="55"/>
      <c r="BF263" s="55"/>
      <c r="BG263" s="57"/>
      <c r="BH263" s="65"/>
      <c r="BI263" s="55"/>
      <c r="BJ263" s="55"/>
      <c r="BK263" s="55"/>
      <c r="BL263" s="55"/>
      <c r="BM263" s="55"/>
      <c r="BN263" s="55"/>
      <c r="BO263" s="55"/>
      <c r="BP263" s="55"/>
      <c r="BQ263" s="65"/>
      <c r="BR263" s="55"/>
      <c r="BS263" s="55"/>
      <c r="BT263" s="55"/>
      <c r="BU263" s="55"/>
      <c r="BV263" s="55"/>
      <c r="BW263" s="55"/>
      <c r="BX263" s="55"/>
      <c r="BY263" s="55"/>
      <c r="BZ263" s="65"/>
      <c r="CA263" s="55"/>
      <c r="CB263" s="55"/>
      <c r="CC263" s="55"/>
      <c r="CD263" s="55"/>
      <c r="CE263" s="55"/>
      <c r="CF263" s="55"/>
      <c r="CG263" s="55"/>
      <c r="CH263" s="55"/>
      <c r="CI263" s="55"/>
    </row>
    <row r="264" spans="1:87">
      <c r="A264" s="12" t="str">
        <f>Roster!A264</f>
        <v/>
      </c>
      <c r="B264" s="28">
        <f>Roster!C264</f>
        <v>0</v>
      </c>
      <c r="C264" s="28" t="str">
        <f>IF(COUNTIFS(Table36103[[#This Row],[Continue Existing]:[Start New]], "TRUE")=0, "YES", "NO")</f>
        <v>YES</v>
      </c>
      <c r="D264" s="28" t="b">
        <f>COUNTIFS(Table36103[[#This Row],[Screening Results: Drug &amp; Alcohol Assessment 1]:[Other Reason 9]], "Continue with existing treatment services")&gt;0</f>
        <v>0</v>
      </c>
      <c r="E264" s="28" t="b">
        <f>COUNTIFS(Table36103[[#This Row],[Screening Results: Drug &amp; Alcohol Assessment 1]:[Other Reason 9]], "Start new service")&gt;0</f>
        <v>0</v>
      </c>
      <c r="F264" s="55"/>
      <c r="G264" s="56"/>
      <c r="H264" s="57"/>
      <c r="I264" s="57"/>
      <c r="J264" s="57"/>
      <c r="K264" s="57"/>
      <c r="L264" s="57"/>
      <c r="M264" s="57"/>
      <c r="N264" s="45"/>
      <c r="O264" s="58"/>
      <c r="P264" s="56"/>
      <c r="Q264" s="57"/>
      <c r="R264" s="57"/>
      <c r="S264" s="57"/>
      <c r="T264" s="57"/>
      <c r="U264" s="57"/>
      <c r="V264" s="57"/>
      <c r="W264" s="45"/>
      <c r="X264" s="71"/>
      <c r="Y264" s="57"/>
      <c r="Z264" s="57"/>
      <c r="AA264" s="57"/>
      <c r="AB264" s="57"/>
      <c r="AC264" s="57"/>
      <c r="AD264" s="57"/>
      <c r="AE264" s="57"/>
      <c r="AF264" s="57"/>
      <c r="AG264" s="71"/>
      <c r="AH264" s="57"/>
      <c r="AI264" s="57"/>
      <c r="AJ264" s="57"/>
      <c r="AK264" s="57"/>
      <c r="AL264" s="57"/>
      <c r="AM264" s="57"/>
      <c r="AN264" s="57"/>
      <c r="AO264" s="57"/>
      <c r="AP264" s="71"/>
      <c r="AQ264" s="57"/>
      <c r="AR264" s="57"/>
      <c r="AS264" s="57"/>
      <c r="AT264" s="57"/>
      <c r="AU264" s="57"/>
      <c r="AV264" s="57"/>
      <c r="AW264" s="57"/>
      <c r="AX264" s="57"/>
      <c r="AY264" s="71"/>
      <c r="AZ264" s="57"/>
      <c r="BA264" s="55"/>
      <c r="BB264" s="55"/>
      <c r="BC264" s="55"/>
      <c r="BD264" s="55"/>
      <c r="BE264" s="55"/>
      <c r="BF264" s="55"/>
      <c r="BG264" s="57"/>
      <c r="BH264" s="65"/>
      <c r="BI264" s="55"/>
      <c r="BJ264" s="55"/>
      <c r="BK264" s="55"/>
      <c r="BL264" s="55"/>
      <c r="BM264" s="55"/>
      <c r="BN264" s="55"/>
      <c r="BO264" s="55"/>
      <c r="BP264" s="55"/>
      <c r="BQ264" s="65"/>
      <c r="BR264" s="55"/>
      <c r="BS264" s="55"/>
      <c r="BT264" s="55"/>
      <c r="BU264" s="55"/>
      <c r="BV264" s="55"/>
      <c r="BW264" s="55"/>
      <c r="BX264" s="55"/>
      <c r="BY264" s="55"/>
      <c r="BZ264" s="65"/>
      <c r="CA264" s="55"/>
      <c r="CB264" s="55"/>
      <c r="CC264" s="55"/>
      <c r="CD264" s="55"/>
      <c r="CE264" s="55"/>
      <c r="CF264" s="55"/>
      <c r="CG264" s="55"/>
      <c r="CH264" s="55"/>
      <c r="CI264" s="55"/>
    </row>
    <row r="265" spans="1:87">
      <c r="A265" s="12" t="str">
        <f>Roster!A265</f>
        <v/>
      </c>
      <c r="B265" s="28">
        <f>Roster!C265</f>
        <v>0</v>
      </c>
      <c r="C265" s="28" t="str">
        <f>IF(COUNTIFS(Table36103[[#This Row],[Continue Existing]:[Start New]], "TRUE")=0, "YES", "NO")</f>
        <v>YES</v>
      </c>
      <c r="D265" s="28" t="b">
        <f>COUNTIFS(Table36103[[#This Row],[Screening Results: Drug &amp; Alcohol Assessment 1]:[Other Reason 9]], "Continue with existing treatment services")&gt;0</f>
        <v>0</v>
      </c>
      <c r="E265" s="28" t="b">
        <f>COUNTIFS(Table36103[[#This Row],[Screening Results: Drug &amp; Alcohol Assessment 1]:[Other Reason 9]], "Start new service")&gt;0</f>
        <v>0</v>
      </c>
      <c r="F265" s="55"/>
      <c r="G265" s="56"/>
      <c r="H265" s="57"/>
      <c r="I265" s="57"/>
      <c r="J265" s="57"/>
      <c r="K265" s="57"/>
      <c r="L265" s="57"/>
      <c r="M265" s="57"/>
      <c r="N265" s="45"/>
      <c r="O265" s="58"/>
      <c r="P265" s="56"/>
      <c r="Q265" s="57"/>
      <c r="R265" s="57"/>
      <c r="S265" s="57"/>
      <c r="T265" s="57"/>
      <c r="U265" s="57"/>
      <c r="V265" s="57"/>
      <c r="W265" s="45"/>
      <c r="X265" s="71"/>
      <c r="Y265" s="57"/>
      <c r="Z265" s="57"/>
      <c r="AA265" s="57"/>
      <c r="AB265" s="57"/>
      <c r="AC265" s="57"/>
      <c r="AD265" s="57"/>
      <c r="AE265" s="57"/>
      <c r="AF265" s="57"/>
      <c r="AG265" s="71"/>
      <c r="AH265" s="57"/>
      <c r="AI265" s="57"/>
      <c r="AJ265" s="57"/>
      <c r="AK265" s="57"/>
      <c r="AL265" s="57"/>
      <c r="AM265" s="57"/>
      <c r="AN265" s="57"/>
      <c r="AO265" s="57"/>
      <c r="AP265" s="71"/>
      <c r="AQ265" s="57"/>
      <c r="AR265" s="57"/>
      <c r="AS265" s="57"/>
      <c r="AT265" s="57"/>
      <c r="AU265" s="57"/>
      <c r="AV265" s="57"/>
      <c r="AW265" s="57"/>
      <c r="AX265" s="57"/>
      <c r="AY265" s="71"/>
      <c r="AZ265" s="57"/>
      <c r="BA265" s="55"/>
      <c r="BB265" s="55"/>
      <c r="BC265" s="55"/>
      <c r="BD265" s="55"/>
      <c r="BE265" s="55"/>
      <c r="BF265" s="55"/>
      <c r="BG265" s="57"/>
      <c r="BH265" s="65"/>
      <c r="BI265" s="55"/>
      <c r="BJ265" s="55"/>
      <c r="BK265" s="55"/>
      <c r="BL265" s="55"/>
      <c r="BM265" s="55"/>
      <c r="BN265" s="55"/>
      <c r="BO265" s="55"/>
      <c r="BP265" s="55"/>
      <c r="BQ265" s="65"/>
      <c r="BR265" s="55"/>
      <c r="BS265" s="55"/>
      <c r="BT265" s="55"/>
      <c r="BU265" s="55"/>
      <c r="BV265" s="55"/>
      <c r="BW265" s="55"/>
      <c r="BX265" s="55"/>
      <c r="BY265" s="55"/>
      <c r="BZ265" s="65"/>
      <c r="CA265" s="55"/>
      <c r="CB265" s="55"/>
      <c r="CC265" s="55"/>
      <c r="CD265" s="55"/>
      <c r="CE265" s="55"/>
      <c r="CF265" s="55"/>
      <c r="CG265" s="55"/>
      <c r="CH265" s="55"/>
      <c r="CI265" s="55"/>
    </row>
    <row r="266" spans="1:87">
      <c r="A266" s="12" t="str">
        <f>Roster!A266</f>
        <v/>
      </c>
      <c r="B266" s="28">
        <f>Roster!C266</f>
        <v>0</v>
      </c>
      <c r="C266" s="28" t="str">
        <f>IF(COUNTIFS(Table36103[[#This Row],[Continue Existing]:[Start New]], "TRUE")=0, "YES", "NO")</f>
        <v>YES</v>
      </c>
      <c r="D266" s="28" t="b">
        <f>COUNTIFS(Table36103[[#This Row],[Screening Results: Drug &amp; Alcohol Assessment 1]:[Other Reason 9]], "Continue with existing treatment services")&gt;0</f>
        <v>0</v>
      </c>
      <c r="E266" s="28" t="b">
        <f>COUNTIFS(Table36103[[#This Row],[Screening Results: Drug &amp; Alcohol Assessment 1]:[Other Reason 9]], "Start new service")&gt;0</f>
        <v>0</v>
      </c>
      <c r="F266" s="55"/>
      <c r="G266" s="56"/>
      <c r="H266" s="57"/>
      <c r="I266" s="57"/>
      <c r="J266" s="57"/>
      <c r="K266" s="57"/>
      <c r="L266" s="57"/>
      <c r="M266" s="57"/>
      <c r="N266" s="45"/>
      <c r="O266" s="58"/>
      <c r="P266" s="56"/>
      <c r="Q266" s="57"/>
      <c r="R266" s="57"/>
      <c r="S266" s="57"/>
      <c r="T266" s="57"/>
      <c r="U266" s="57"/>
      <c r="V266" s="57"/>
      <c r="W266" s="45"/>
      <c r="X266" s="71"/>
      <c r="Y266" s="57"/>
      <c r="Z266" s="57"/>
      <c r="AA266" s="57"/>
      <c r="AB266" s="57"/>
      <c r="AC266" s="57"/>
      <c r="AD266" s="57"/>
      <c r="AE266" s="57"/>
      <c r="AF266" s="57"/>
      <c r="AG266" s="71"/>
      <c r="AH266" s="57"/>
      <c r="AI266" s="57"/>
      <c r="AJ266" s="57"/>
      <c r="AK266" s="57"/>
      <c r="AL266" s="57"/>
      <c r="AM266" s="57"/>
      <c r="AN266" s="57"/>
      <c r="AO266" s="57"/>
      <c r="AP266" s="71"/>
      <c r="AQ266" s="57"/>
      <c r="AR266" s="57"/>
      <c r="AS266" s="57"/>
      <c r="AT266" s="57"/>
      <c r="AU266" s="57"/>
      <c r="AV266" s="57"/>
      <c r="AW266" s="57"/>
      <c r="AX266" s="57"/>
      <c r="AY266" s="71"/>
      <c r="AZ266" s="57"/>
      <c r="BA266" s="55"/>
      <c r="BB266" s="55"/>
      <c r="BC266" s="55"/>
      <c r="BD266" s="55"/>
      <c r="BE266" s="55"/>
      <c r="BF266" s="55"/>
      <c r="BG266" s="57"/>
      <c r="BH266" s="65"/>
      <c r="BI266" s="55"/>
      <c r="BJ266" s="55"/>
      <c r="BK266" s="55"/>
      <c r="BL266" s="55"/>
      <c r="BM266" s="55"/>
      <c r="BN266" s="55"/>
      <c r="BO266" s="55"/>
      <c r="BP266" s="55"/>
      <c r="BQ266" s="65"/>
      <c r="BR266" s="55"/>
      <c r="BS266" s="55"/>
      <c r="BT266" s="55"/>
      <c r="BU266" s="55"/>
      <c r="BV266" s="55"/>
      <c r="BW266" s="55"/>
      <c r="BX266" s="55"/>
      <c r="BY266" s="55"/>
      <c r="BZ266" s="65"/>
      <c r="CA266" s="55"/>
      <c r="CB266" s="55"/>
      <c r="CC266" s="55"/>
      <c r="CD266" s="55"/>
      <c r="CE266" s="55"/>
      <c r="CF266" s="55"/>
      <c r="CG266" s="55"/>
      <c r="CH266" s="55"/>
      <c r="CI266" s="55"/>
    </row>
    <row r="267" spans="1:87">
      <c r="A267" s="12" t="str">
        <f>Roster!A267</f>
        <v/>
      </c>
      <c r="B267" s="28">
        <f>Roster!C267</f>
        <v>0</v>
      </c>
      <c r="C267" s="28" t="str">
        <f>IF(COUNTIFS(Table36103[[#This Row],[Continue Existing]:[Start New]], "TRUE")=0, "YES", "NO")</f>
        <v>YES</v>
      </c>
      <c r="D267" s="28" t="b">
        <f>COUNTIFS(Table36103[[#This Row],[Screening Results: Drug &amp; Alcohol Assessment 1]:[Other Reason 9]], "Continue with existing treatment services")&gt;0</f>
        <v>0</v>
      </c>
      <c r="E267" s="28" t="b">
        <f>COUNTIFS(Table36103[[#This Row],[Screening Results: Drug &amp; Alcohol Assessment 1]:[Other Reason 9]], "Start new service")&gt;0</f>
        <v>0</v>
      </c>
      <c r="F267" s="55"/>
      <c r="G267" s="56"/>
      <c r="H267" s="57"/>
      <c r="I267" s="57"/>
      <c r="J267" s="57"/>
      <c r="K267" s="57"/>
      <c r="L267" s="57"/>
      <c r="M267" s="57"/>
      <c r="N267" s="45"/>
      <c r="O267" s="58"/>
      <c r="P267" s="56"/>
      <c r="Q267" s="57"/>
      <c r="R267" s="57"/>
      <c r="S267" s="57"/>
      <c r="T267" s="57"/>
      <c r="U267" s="57"/>
      <c r="V267" s="57"/>
      <c r="W267" s="45"/>
      <c r="X267" s="71"/>
      <c r="Y267" s="57"/>
      <c r="Z267" s="57"/>
      <c r="AA267" s="57"/>
      <c r="AB267" s="57"/>
      <c r="AC267" s="57"/>
      <c r="AD267" s="57"/>
      <c r="AE267" s="57"/>
      <c r="AF267" s="57"/>
      <c r="AG267" s="71"/>
      <c r="AH267" s="57"/>
      <c r="AI267" s="57"/>
      <c r="AJ267" s="57"/>
      <c r="AK267" s="57"/>
      <c r="AL267" s="57"/>
      <c r="AM267" s="57"/>
      <c r="AN267" s="57"/>
      <c r="AO267" s="57"/>
      <c r="AP267" s="71"/>
      <c r="AQ267" s="57"/>
      <c r="AR267" s="57"/>
      <c r="AS267" s="57"/>
      <c r="AT267" s="57"/>
      <c r="AU267" s="57"/>
      <c r="AV267" s="57"/>
      <c r="AW267" s="57"/>
      <c r="AX267" s="57"/>
      <c r="AY267" s="71"/>
      <c r="AZ267" s="57"/>
      <c r="BA267" s="55"/>
      <c r="BB267" s="55"/>
      <c r="BC267" s="55"/>
      <c r="BD267" s="55"/>
      <c r="BE267" s="55"/>
      <c r="BF267" s="55"/>
      <c r="BG267" s="57"/>
      <c r="BH267" s="65"/>
      <c r="BI267" s="55"/>
      <c r="BJ267" s="55"/>
      <c r="BK267" s="55"/>
      <c r="BL267" s="55"/>
      <c r="BM267" s="55"/>
      <c r="BN267" s="55"/>
      <c r="BO267" s="55"/>
      <c r="BP267" s="55"/>
      <c r="BQ267" s="65"/>
      <c r="BR267" s="55"/>
      <c r="BS267" s="55"/>
      <c r="BT267" s="55"/>
      <c r="BU267" s="55"/>
      <c r="BV267" s="55"/>
      <c r="BW267" s="55"/>
      <c r="BX267" s="55"/>
      <c r="BY267" s="55"/>
      <c r="BZ267" s="65"/>
      <c r="CA267" s="55"/>
      <c r="CB267" s="55"/>
      <c r="CC267" s="55"/>
      <c r="CD267" s="55"/>
      <c r="CE267" s="55"/>
      <c r="CF267" s="55"/>
      <c r="CG267" s="55"/>
      <c r="CH267" s="55"/>
      <c r="CI267" s="55"/>
    </row>
    <row r="268" spans="1:87">
      <c r="A268" s="12" t="str">
        <f>Roster!A268</f>
        <v/>
      </c>
      <c r="B268" s="28">
        <f>Roster!C268</f>
        <v>0</v>
      </c>
      <c r="C268" s="28" t="str">
        <f>IF(COUNTIFS(Table36103[[#This Row],[Continue Existing]:[Start New]], "TRUE")=0, "YES", "NO")</f>
        <v>YES</v>
      </c>
      <c r="D268" s="28" t="b">
        <f>COUNTIFS(Table36103[[#This Row],[Screening Results: Drug &amp; Alcohol Assessment 1]:[Other Reason 9]], "Continue with existing treatment services")&gt;0</f>
        <v>0</v>
      </c>
      <c r="E268" s="28" t="b">
        <f>COUNTIFS(Table36103[[#This Row],[Screening Results: Drug &amp; Alcohol Assessment 1]:[Other Reason 9]], "Start new service")&gt;0</f>
        <v>0</v>
      </c>
      <c r="F268" s="55"/>
      <c r="G268" s="56"/>
      <c r="H268" s="57"/>
      <c r="I268" s="57"/>
      <c r="J268" s="57"/>
      <c r="K268" s="57"/>
      <c r="L268" s="57"/>
      <c r="M268" s="57"/>
      <c r="N268" s="45"/>
      <c r="O268" s="58"/>
      <c r="P268" s="56"/>
      <c r="Q268" s="57"/>
      <c r="R268" s="57"/>
      <c r="S268" s="57"/>
      <c r="T268" s="57"/>
      <c r="U268" s="57"/>
      <c r="V268" s="57"/>
      <c r="W268" s="45"/>
      <c r="X268" s="71"/>
      <c r="Y268" s="57"/>
      <c r="Z268" s="57"/>
      <c r="AA268" s="57"/>
      <c r="AB268" s="57"/>
      <c r="AC268" s="57"/>
      <c r="AD268" s="57"/>
      <c r="AE268" s="57"/>
      <c r="AF268" s="57"/>
      <c r="AG268" s="71"/>
      <c r="AH268" s="57"/>
      <c r="AI268" s="57"/>
      <c r="AJ268" s="57"/>
      <c r="AK268" s="57"/>
      <c r="AL268" s="57"/>
      <c r="AM268" s="57"/>
      <c r="AN268" s="57"/>
      <c r="AO268" s="57"/>
      <c r="AP268" s="71"/>
      <c r="AQ268" s="57"/>
      <c r="AR268" s="57"/>
      <c r="AS268" s="57"/>
      <c r="AT268" s="57"/>
      <c r="AU268" s="57"/>
      <c r="AV268" s="57"/>
      <c r="AW268" s="57"/>
      <c r="AX268" s="57"/>
      <c r="AY268" s="71"/>
      <c r="AZ268" s="57"/>
      <c r="BA268" s="55"/>
      <c r="BB268" s="55"/>
      <c r="BC268" s="55"/>
      <c r="BD268" s="55"/>
      <c r="BE268" s="55"/>
      <c r="BF268" s="55"/>
      <c r="BG268" s="57"/>
      <c r="BH268" s="65"/>
      <c r="BI268" s="55"/>
      <c r="BJ268" s="55"/>
      <c r="BK268" s="55"/>
      <c r="BL268" s="55"/>
      <c r="BM268" s="55"/>
      <c r="BN268" s="55"/>
      <c r="BO268" s="55"/>
      <c r="BP268" s="55"/>
      <c r="BQ268" s="65"/>
      <c r="BR268" s="55"/>
      <c r="BS268" s="55"/>
      <c r="BT268" s="55"/>
      <c r="BU268" s="55"/>
      <c r="BV268" s="55"/>
      <c r="BW268" s="55"/>
      <c r="BX268" s="55"/>
      <c r="BY268" s="55"/>
      <c r="BZ268" s="65"/>
      <c r="CA268" s="55"/>
      <c r="CB268" s="55"/>
      <c r="CC268" s="55"/>
      <c r="CD268" s="55"/>
      <c r="CE268" s="55"/>
      <c r="CF268" s="55"/>
      <c r="CG268" s="55"/>
      <c r="CH268" s="55"/>
      <c r="CI268" s="55"/>
    </row>
    <row r="269" spans="1:87">
      <c r="A269" s="12" t="str">
        <f>Roster!A269</f>
        <v/>
      </c>
      <c r="B269" s="28">
        <f>Roster!C269</f>
        <v>0</v>
      </c>
      <c r="C269" s="28" t="str">
        <f>IF(COUNTIFS(Table36103[[#This Row],[Continue Existing]:[Start New]], "TRUE")=0, "YES", "NO")</f>
        <v>YES</v>
      </c>
      <c r="D269" s="28" t="b">
        <f>COUNTIFS(Table36103[[#This Row],[Screening Results: Drug &amp; Alcohol Assessment 1]:[Other Reason 9]], "Continue with existing treatment services")&gt;0</f>
        <v>0</v>
      </c>
      <c r="E269" s="28" t="b">
        <f>COUNTIFS(Table36103[[#This Row],[Screening Results: Drug &amp; Alcohol Assessment 1]:[Other Reason 9]], "Start new service")&gt;0</f>
        <v>0</v>
      </c>
      <c r="F269" s="55"/>
      <c r="G269" s="56"/>
      <c r="H269" s="57"/>
      <c r="I269" s="57"/>
      <c r="J269" s="57"/>
      <c r="K269" s="57"/>
      <c r="L269" s="57"/>
      <c r="M269" s="57"/>
      <c r="N269" s="45"/>
      <c r="O269" s="58"/>
      <c r="P269" s="56"/>
      <c r="Q269" s="57"/>
      <c r="R269" s="57"/>
      <c r="S269" s="57"/>
      <c r="T269" s="57"/>
      <c r="U269" s="57"/>
      <c r="V269" s="57"/>
      <c r="W269" s="45"/>
      <c r="X269" s="71"/>
      <c r="Y269" s="57"/>
      <c r="Z269" s="57"/>
      <c r="AA269" s="57"/>
      <c r="AB269" s="57"/>
      <c r="AC269" s="57"/>
      <c r="AD269" s="57"/>
      <c r="AE269" s="57"/>
      <c r="AF269" s="57"/>
      <c r="AG269" s="71"/>
      <c r="AH269" s="57"/>
      <c r="AI269" s="57"/>
      <c r="AJ269" s="57"/>
      <c r="AK269" s="57"/>
      <c r="AL269" s="57"/>
      <c r="AM269" s="57"/>
      <c r="AN269" s="57"/>
      <c r="AO269" s="57"/>
      <c r="AP269" s="71"/>
      <c r="AQ269" s="57"/>
      <c r="AR269" s="57"/>
      <c r="AS269" s="57"/>
      <c r="AT269" s="57"/>
      <c r="AU269" s="57"/>
      <c r="AV269" s="57"/>
      <c r="AW269" s="57"/>
      <c r="AX269" s="57"/>
      <c r="AY269" s="71"/>
      <c r="AZ269" s="57"/>
      <c r="BA269" s="55"/>
      <c r="BB269" s="55"/>
      <c r="BC269" s="55"/>
      <c r="BD269" s="55"/>
      <c r="BE269" s="55"/>
      <c r="BF269" s="55"/>
      <c r="BG269" s="57"/>
      <c r="BH269" s="65"/>
      <c r="BI269" s="55"/>
      <c r="BJ269" s="55"/>
      <c r="BK269" s="55"/>
      <c r="BL269" s="55"/>
      <c r="BM269" s="55"/>
      <c r="BN269" s="55"/>
      <c r="BO269" s="55"/>
      <c r="BP269" s="55"/>
      <c r="BQ269" s="65"/>
      <c r="BR269" s="55"/>
      <c r="BS269" s="55"/>
      <c r="BT269" s="55"/>
      <c r="BU269" s="55"/>
      <c r="BV269" s="55"/>
      <c r="BW269" s="55"/>
      <c r="BX269" s="55"/>
      <c r="BY269" s="55"/>
      <c r="BZ269" s="65"/>
      <c r="CA269" s="55"/>
      <c r="CB269" s="55"/>
      <c r="CC269" s="55"/>
      <c r="CD269" s="55"/>
      <c r="CE269" s="55"/>
      <c r="CF269" s="55"/>
      <c r="CG269" s="55"/>
      <c r="CH269" s="55"/>
      <c r="CI269" s="55"/>
    </row>
    <row r="270" spans="1:87">
      <c r="A270" s="12" t="str">
        <f>Roster!A270</f>
        <v/>
      </c>
      <c r="B270" s="28">
        <f>Roster!C270</f>
        <v>0</v>
      </c>
      <c r="C270" s="28" t="str">
        <f>IF(COUNTIFS(Table36103[[#This Row],[Continue Existing]:[Start New]], "TRUE")=0, "YES", "NO")</f>
        <v>YES</v>
      </c>
      <c r="D270" s="28" t="b">
        <f>COUNTIFS(Table36103[[#This Row],[Screening Results: Drug &amp; Alcohol Assessment 1]:[Other Reason 9]], "Continue with existing treatment services")&gt;0</f>
        <v>0</v>
      </c>
      <c r="E270" s="28" t="b">
        <f>COUNTIFS(Table36103[[#This Row],[Screening Results: Drug &amp; Alcohol Assessment 1]:[Other Reason 9]], "Start new service")&gt;0</f>
        <v>0</v>
      </c>
      <c r="F270" s="55"/>
      <c r="G270" s="56"/>
      <c r="H270" s="57"/>
      <c r="I270" s="57"/>
      <c r="J270" s="57"/>
      <c r="K270" s="57"/>
      <c r="L270" s="57"/>
      <c r="M270" s="57"/>
      <c r="N270" s="45"/>
      <c r="O270" s="58"/>
      <c r="P270" s="56"/>
      <c r="Q270" s="57"/>
      <c r="R270" s="57"/>
      <c r="S270" s="57"/>
      <c r="T270" s="57"/>
      <c r="U270" s="57"/>
      <c r="V270" s="57"/>
      <c r="W270" s="45"/>
      <c r="X270" s="71"/>
      <c r="Y270" s="57"/>
      <c r="Z270" s="57"/>
      <c r="AA270" s="57"/>
      <c r="AB270" s="57"/>
      <c r="AC270" s="57"/>
      <c r="AD270" s="57"/>
      <c r="AE270" s="57"/>
      <c r="AF270" s="57"/>
      <c r="AG270" s="71"/>
      <c r="AH270" s="57"/>
      <c r="AI270" s="57"/>
      <c r="AJ270" s="57"/>
      <c r="AK270" s="57"/>
      <c r="AL270" s="57"/>
      <c r="AM270" s="57"/>
      <c r="AN270" s="57"/>
      <c r="AO270" s="57"/>
      <c r="AP270" s="71"/>
      <c r="AQ270" s="57"/>
      <c r="AR270" s="57"/>
      <c r="AS270" s="57"/>
      <c r="AT270" s="57"/>
      <c r="AU270" s="57"/>
      <c r="AV270" s="57"/>
      <c r="AW270" s="57"/>
      <c r="AX270" s="57"/>
      <c r="AY270" s="71"/>
      <c r="AZ270" s="57"/>
      <c r="BA270" s="55"/>
      <c r="BB270" s="55"/>
      <c r="BC270" s="55"/>
      <c r="BD270" s="55"/>
      <c r="BE270" s="55"/>
      <c r="BF270" s="55"/>
      <c r="BG270" s="57"/>
      <c r="BH270" s="65"/>
      <c r="BI270" s="55"/>
      <c r="BJ270" s="55"/>
      <c r="BK270" s="55"/>
      <c r="BL270" s="55"/>
      <c r="BM270" s="55"/>
      <c r="BN270" s="55"/>
      <c r="BO270" s="55"/>
      <c r="BP270" s="55"/>
      <c r="BQ270" s="65"/>
      <c r="BR270" s="55"/>
      <c r="BS270" s="55"/>
      <c r="BT270" s="55"/>
      <c r="BU270" s="55"/>
      <c r="BV270" s="55"/>
      <c r="BW270" s="55"/>
      <c r="BX270" s="55"/>
      <c r="BY270" s="55"/>
      <c r="BZ270" s="65"/>
      <c r="CA270" s="55"/>
      <c r="CB270" s="55"/>
      <c r="CC270" s="55"/>
      <c r="CD270" s="55"/>
      <c r="CE270" s="55"/>
      <c r="CF270" s="55"/>
      <c r="CG270" s="55"/>
      <c r="CH270" s="55"/>
      <c r="CI270" s="55"/>
    </row>
    <row r="271" spans="1:87">
      <c r="A271" s="12" t="str">
        <f>Roster!A271</f>
        <v/>
      </c>
      <c r="B271" s="28">
        <f>Roster!C271</f>
        <v>0</v>
      </c>
      <c r="C271" s="28" t="str">
        <f>IF(COUNTIFS(Table36103[[#This Row],[Continue Existing]:[Start New]], "TRUE")=0, "YES", "NO")</f>
        <v>YES</v>
      </c>
      <c r="D271" s="28" t="b">
        <f>COUNTIFS(Table36103[[#This Row],[Screening Results: Drug &amp; Alcohol Assessment 1]:[Other Reason 9]], "Continue with existing treatment services")&gt;0</f>
        <v>0</v>
      </c>
      <c r="E271" s="28" t="b">
        <f>COUNTIFS(Table36103[[#This Row],[Screening Results: Drug &amp; Alcohol Assessment 1]:[Other Reason 9]], "Start new service")&gt;0</f>
        <v>0</v>
      </c>
      <c r="F271" s="55"/>
      <c r="G271" s="56"/>
      <c r="H271" s="57"/>
      <c r="I271" s="57"/>
      <c r="J271" s="57"/>
      <c r="K271" s="57"/>
      <c r="L271" s="57"/>
      <c r="M271" s="57"/>
      <c r="N271" s="45"/>
      <c r="O271" s="58"/>
      <c r="P271" s="56"/>
      <c r="Q271" s="57"/>
      <c r="R271" s="57"/>
      <c r="S271" s="57"/>
      <c r="T271" s="57"/>
      <c r="U271" s="57"/>
      <c r="V271" s="57"/>
      <c r="W271" s="45"/>
      <c r="X271" s="71"/>
      <c r="Y271" s="57"/>
      <c r="Z271" s="57"/>
      <c r="AA271" s="57"/>
      <c r="AB271" s="57"/>
      <c r="AC271" s="57"/>
      <c r="AD271" s="57"/>
      <c r="AE271" s="57"/>
      <c r="AF271" s="57"/>
      <c r="AG271" s="71"/>
      <c r="AH271" s="57"/>
      <c r="AI271" s="57"/>
      <c r="AJ271" s="57"/>
      <c r="AK271" s="57"/>
      <c r="AL271" s="57"/>
      <c r="AM271" s="57"/>
      <c r="AN271" s="57"/>
      <c r="AO271" s="57"/>
      <c r="AP271" s="71"/>
      <c r="AQ271" s="57"/>
      <c r="AR271" s="57"/>
      <c r="AS271" s="57"/>
      <c r="AT271" s="57"/>
      <c r="AU271" s="57"/>
      <c r="AV271" s="57"/>
      <c r="AW271" s="57"/>
      <c r="AX271" s="57"/>
      <c r="AY271" s="71"/>
      <c r="AZ271" s="57"/>
      <c r="BA271" s="55"/>
      <c r="BB271" s="55"/>
      <c r="BC271" s="55"/>
      <c r="BD271" s="55"/>
      <c r="BE271" s="55"/>
      <c r="BF271" s="55"/>
      <c r="BG271" s="57"/>
      <c r="BH271" s="65"/>
      <c r="BI271" s="55"/>
      <c r="BJ271" s="55"/>
      <c r="BK271" s="55"/>
      <c r="BL271" s="55"/>
      <c r="BM271" s="55"/>
      <c r="BN271" s="55"/>
      <c r="BO271" s="55"/>
      <c r="BP271" s="55"/>
      <c r="BQ271" s="65"/>
      <c r="BR271" s="55"/>
      <c r="BS271" s="55"/>
      <c r="BT271" s="55"/>
      <c r="BU271" s="55"/>
      <c r="BV271" s="55"/>
      <c r="BW271" s="55"/>
      <c r="BX271" s="55"/>
      <c r="BY271" s="55"/>
      <c r="BZ271" s="65"/>
      <c r="CA271" s="55"/>
      <c r="CB271" s="55"/>
      <c r="CC271" s="55"/>
      <c r="CD271" s="55"/>
      <c r="CE271" s="55"/>
      <c r="CF271" s="55"/>
      <c r="CG271" s="55"/>
      <c r="CH271" s="55"/>
      <c r="CI271" s="55"/>
    </row>
    <row r="272" spans="1:87">
      <c r="A272" s="12" t="str">
        <f>Roster!A272</f>
        <v/>
      </c>
      <c r="B272" s="28">
        <f>Roster!C272</f>
        <v>0</v>
      </c>
      <c r="C272" s="28" t="str">
        <f>IF(COUNTIFS(Table36103[[#This Row],[Continue Existing]:[Start New]], "TRUE")=0, "YES", "NO")</f>
        <v>YES</v>
      </c>
      <c r="D272" s="28" t="b">
        <f>COUNTIFS(Table36103[[#This Row],[Screening Results: Drug &amp; Alcohol Assessment 1]:[Other Reason 9]], "Continue with existing treatment services")&gt;0</f>
        <v>0</v>
      </c>
      <c r="E272" s="28" t="b">
        <f>COUNTIFS(Table36103[[#This Row],[Screening Results: Drug &amp; Alcohol Assessment 1]:[Other Reason 9]], "Start new service")&gt;0</f>
        <v>0</v>
      </c>
      <c r="F272" s="55"/>
      <c r="G272" s="56"/>
      <c r="H272" s="57"/>
      <c r="I272" s="57"/>
      <c r="J272" s="57"/>
      <c r="K272" s="57"/>
      <c r="L272" s="57"/>
      <c r="M272" s="57"/>
      <c r="N272" s="45"/>
      <c r="O272" s="58"/>
      <c r="P272" s="56"/>
      <c r="Q272" s="57"/>
      <c r="R272" s="57"/>
      <c r="S272" s="57"/>
      <c r="T272" s="57"/>
      <c r="U272" s="57"/>
      <c r="V272" s="57"/>
      <c r="W272" s="45"/>
      <c r="X272" s="71"/>
      <c r="Y272" s="57"/>
      <c r="Z272" s="57"/>
      <c r="AA272" s="57"/>
      <c r="AB272" s="57"/>
      <c r="AC272" s="57"/>
      <c r="AD272" s="57"/>
      <c r="AE272" s="57"/>
      <c r="AF272" s="57"/>
      <c r="AG272" s="71"/>
      <c r="AH272" s="57"/>
      <c r="AI272" s="57"/>
      <c r="AJ272" s="57"/>
      <c r="AK272" s="57"/>
      <c r="AL272" s="57"/>
      <c r="AM272" s="57"/>
      <c r="AN272" s="57"/>
      <c r="AO272" s="57"/>
      <c r="AP272" s="71"/>
      <c r="AQ272" s="57"/>
      <c r="AR272" s="57"/>
      <c r="AS272" s="57"/>
      <c r="AT272" s="57"/>
      <c r="AU272" s="57"/>
      <c r="AV272" s="57"/>
      <c r="AW272" s="57"/>
      <c r="AX272" s="57"/>
      <c r="AY272" s="71"/>
      <c r="AZ272" s="57"/>
      <c r="BA272" s="55"/>
      <c r="BB272" s="55"/>
      <c r="BC272" s="55"/>
      <c r="BD272" s="55"/>
      <c r="BE272" s="55"/>
      <c r="BF272" s="55"/>
      <c r="BG272" s="57"/>
      <c r="BH272" s="65"/>
      <c r="BI272" s="55"/>
      <c r="BJ272" s="55"/>
      <c r="BK272" s="55"/>
      <c r="BL272" s="55"/>
      <c r="BM272" s="55"/>
      <c r="BN272" s="55"/>
      <c r="BO272" s="55"/>
      <c r="BP272" s="55"/>
      <c r="BQ272" s="65"/>
      <c r="BR272" s="55"/>
      <c r="BS272" s="55"/>
      <c r="BT272" s="55"/>
      <c r="BU272" s="55"/>
      <c r="BV272" s="55"/>
      <c r="BW272" s="55"/>
      <c r="BX272" s="55"/>
      <c r="BY272" s="55"/>
      <c r="BZ272" s="65"/>
      <c r="CA272" s="55"/>
      <c r="CB272" s="55"/>
      <c r="CC272" s="55"/>
      <c r="CD272" s="55"/>
      <c r="CE272" s="55"/>
      <c r="CF272" s="55"/>
      <c r="CG272" s="55"/>
      <c r="CH272" s="55"/>
      <c r="CI272" s="55"/>
    </row>
    <row r="273" spans="1:87">
      <c r="A273" s="12" t="str">
        <f>Roster!A273</f>
        <v/>
      </c>
      <c r="B273" s="28">
        <f>Roster!C273</f>
        <v>0</v>
      </c>
      <c r="C273" s="28" t="str">
        <f>IF(COUNTIFS(Table36103[[#This Row],[Continue Existing]:[Start New]], "TRUE")=0, "YES", "NO")</f>
        <v>YES</v>
      </c>
      <c r="D273" s="28" t="b">
        <f>COUNTIFS(Table36103[[#This Row],[Screening Results: Drug &amp; Alcohol Assessment 1]:[Other Reason 9]], "Continue with existing treatment services")&gt;0</f>
        <v>0</v>
      </c>
      <c r="E273" s="28" t="b">
        <f>COUNTIFS(Table36103[[#This Row],[Screening Results: Drug &amp; Alcohol Assessment 1]:[Other Reason 9]], "Start new service")&gt;0</f>
        <v>0</v>
      </c>
      <c r="F273" s="55"/>
      <c r="G273" s="56"/>
      <c r="H273" s="57"/>
      <c r="I273" s="57"/>
      <c r="J273" s="57"/>
      <c r="K273" s="57"/>
      <c r="L273" s="57"/>
      <c r="M273" s="57"/>
      <c r="N273" s="45"/>
      <c r="O273" s="58"/>
      <c r="P273" s="56"/>
      <c r="Q273" s="57"/>
      <c r="R273" s="57"/>
      <c r="S273" s="57"/>
      <c r="T273" s="57"/>
      <c r="U273" s="57"/>
      <c r="V273" s="57"/>
      <c r="W273" s="45"/>
      <c r="X273" s="71"/>
      <c r="Y273" s="57"/>
      <c r="Z273" s="57"/>
      <c r="AA273" s="57"/>
      <c r="AB273" s="57"/>
      <c r="AC273" s="57"/>
      <c r="AD273" s="57"/>
      <c r="AE273" s="57"/>
      <c r="AF273" s="57"/>
      <c r="AG273" s="71"/>
      <c r="AH273" s="57"/>
      <c r="AI273" s="57"/>
      <c r="AJ273" s="57"/>
      <c r="AK273" s="57"/>
      <c r="AL273" s="57"/>
      <c r="AM273" s="57"/>
      <c r="AN273" s="57"/>
      <c r="AO273" s="57"/>
      <c r="AP273" s="71"/>
      <c r="AQ273" s="57"/>
      <c r="AR273" s="57"/>
      <c r="AS273" s="57"/>
      <c r="AT273" s="57"/>
      <c r="AU273" s="57"/>
      <c r="AV273" s="57"/>
      <c r="AW273" s="57"/>
      <c r="AX273" s="57"/>
      <c r="AY273" s="71"/>
      <c r="AZ273" s="57"/>
      <c r="BA273" s="55"/>
      <c r="BB273" s="55"/>
      <c r="BC273" s="55"/>
      <c r="BD273" s="55"/>
      <c r="BE273" s="55"/>
      <c r="BF273" s="55"/>
      <c r="BG273" s="57"/>
      <c r="BH273" s="65"/>
      <c r="BI273" s="55"/>
      <c r="BJ273" s="55"/>
      <c r="BK273" s="55"/>
      <c r="BL273" s="55"/>
      <c r="BM273" s="55"/>
      <c r="BN273" s="55"/>
      <c r="BO273" s="55"/>
      <c r="BP273" s="55"/>
      <c r="BQ273" s="65"/>
      <c r="BR273" s="55"/>
      <c r="BS273" s="55"/>
      <c r="BT273" s="55"/>
      <c r="BU273" s="55"/>
      <c r="BV273" s="55"/>
      <c r="BW273" s="55"/>
      <c r="BX273" s="55"/>
      <c r="BY273" s="55"/>
      <c r="BZ273" s="65"/>
      <c r="CA273" s="55"/>
      <c r="CB273" s="55"/>
      <c r="CC273" s="55"/>
      <c r="CD273" s="55"/>
      <c r="CE273" s="55"/>
      <c r="CF273" s="55"/>
      <c r="CG273" s="55"/>
      <c r="CH273" s="55"/>
      <c r="CI273" s="55"/>
    </row>
    <row r="274" spans="1:87">
      <c r="A274" s="12" t="str">
        <f>Roster!A274</f>
        <v/>
      </c>
      <c r="B274" s="28">
        <f>Roster!C274</f>
        <v>0</v>
      </c>
      <c r="C274" s="28" t="str">
        <f>IF(COUNTIFS(Table36103[[#This Row],[Continue Existing]:[Start New]], "TRUE")=0, "YES", "NO")</f>
        <v>YES</v>
      </c>
      <c r="D274" s="28" t="b">
        <f>COUNTIFS(Table36103[[#This Row],[Screening Results: Drug &amp; Alcohol Assessment 1]:[Other Reason 9]], "Continue with existing treatment services")&gt;0</f>
        <v>0</v>
      </c>
      <c r="E274" s="28" t="b">
        <f>COUNTIFS(Table36103[[#This Row],[Screening Results: Drug &amp; Alcohol Assessment 1]:[Other Reason 9]], "Start new service")&gt;0</f>
        <v>0</v>
      </c>
      <c r="F274" s="55"/>
      <c r="G274" s="56"/>
      <c r="H274" s="57"/>
      <c r="I274" s="57"/>
      <c r="J274" s="57"/>
      <c r="K274" s="57"/>
      <c r="L274" s="57"/>
      <c r="M274" s="57"/>
      <c r="N274" s="45"/>
      <c r="O274" s="58"/>
      <c r="P274" s="56"/>
      <c r="Q274" s="57"/>
      <c r="R274" s="57"/>
      <c r="S274" s="57"/>
      <c r="T274" s="57"/>
      <c r="U274" s="57"/>
      <c r="V274" s="57"/>
      <c r="W274" s="45"/>
      <c r="X274" s="71"/>
      <c r="Y274" s="57"/>
      <c r="Z274" s="57"/>
      <c r="AA274" s="57"/>
      <c r="AB274" s="57"/>
      <c r="AC274" s="57"/>
      <c r="AD274" s="57"/>
      <c r="AE274" s="57"/>
      <c r="AF274" s="57"/>
      <c r="AG274" s="71"/>
      <c r="AH274" s="57"/>
      <c r="AI274" s="57"/>
      <c r="AJ274" s="57"/>
      <c r="AK274" s="57"/>
      <c r="AL274" s="57"/>
      <c r="AM274" s="57"/>
      <c r="AN274" s="57"/>
      <c r="AO274" s="57"/>
      <c r="AP274" s="71"/>
      <c r="AQ274" s="57"/>
      <c r="AR274" s="57"/>
      <c r="AS274" s="57"/>
      <c r="AT274" s="57"/>
      <c r="AU274" s="57"/>
      <c r="AV274" s="57"/>
      <c r="AW274" s="57"/>
      <c r="AX274" s="57"/>
      <c r="AY274" s="71"/>
      <c r="AZ274" s="57"/>
      <c r="BA274" s="55"/>
      <c r="BB274" s="55"/>
      <c r="BC274" s="55"/>
      <c r="BD274" s="55"/>
      <c r="BE274" s="55"/>
      <c r="BF274" s="55"/>
      <c r="BG274" s="57"/>
      <c r="BH274" s="65"/>
      <c r="BI274" s="55"/>
      <c r="BJ274" s="55"/>
      <c r="BK274" s="55"/>
      <c r="BL274" s="55"/>
      <c r="BM274" s="55"/>
      <c r="BN274" s="55"/>
      <c r="BO274" s="55"/>
      <c r="BP274" s="55"/>
      <c r="BQ274" s="65"/>
      <c r="BR274" s="55"/>
      <c r="BS274" s="55"/>
      <c r="BT274" s="55"/>
      <c r="BU274" s="55"/>
      <c r="BV274" s="55"/>
      <c r="BW274" s="55"/>
      <c r="BX274" s="55"/>
      <c r="BY274" s="55"/>
      <c r="BZ274" s="65"/>
      <c r="CA274" s="55"/>
      <c r="CB274" s="55"/>
      <c r="CC274" s="55"/>
      <c r="CD274" s="55"/>
      <c r="CE274" s="55"/>
      <c r="CF274" s="55"/>
      <c r="CG274" s="55"/>
      <c r="CH274" s="55"/>
      <c r="CI274" s="55"/>
    </row>
    <row r="275" spans="1:87">
      <c r="A275" s="12" t="str">
        <f>Roster!A275</f>
        <v/>
      </c>
      <c r="B275" s="28">
        <f>Roster!C275</f>
        <v>0</v>
      </c>
      <c r="C275" s="28" t="str">
        <f>IF(COUNTIFS(Table36103[[#This Row],[Continue Existing]:[Start New]], "TRUE")=0, "YES", "NO")</f>
        <v>YES</v>
      </c>
      <c r="D275" s="28" t="b">
        <f>COUNTIFS(Table36103[[#This Row],[Screening Results: Drug &amp; Alcohol Assessment 1]:[Other Reason 9]], "Continue with existing treatment services")&gt;0</f>
        <v>0</v>
      </c>
      <c r="E275" s="28" t="b">
        <f>COUNTIFS(Table36103[[#This Row],[Screening Results: Drug &amp; Alcohol Assessment 1]:[Other Reason 9]], "Start new service")&gt;0</f>
        <v>0</v>
      </c>
      <c r="F275" s="55"/>
      <c r="G275" s="56"/>
      <c r="H275" s="57"/>
      <c r="I275" s="57"/>
      <c r="J275" s="57"/>
      <c r="K275" s="57"/>
      <c r="L275" s="57"/>
      <c r="M275" s="57"/>
      <c r="N275" s="45"/>
      <c r="O275" s="58"/>
      <c r="P275" s="56"/>
      <c r="Q275" s="57"/>
      <c r="R275" s="57"/>
      <c r="S275" s="57"/>
      <c r="T275" s="57"/>
      <c r="U275" s="57"/>
      <c r="V275" s="57"/>
      <c r="W275" s="45"/>
      <c r="X275" s="71"/>
      <c r="Y275" s="57"/>
      <c r="Z275" s="57"/>
      <c r="AA275" s="57"/>
      <c r="AB275" s="57"/>
      <c r="AC275" s="57"/>
      <c r="AD275" s="57"/>
      <c r="AE275" s="57"/>
      <c r="AF275" s="57"/>
      <c r="AG275" s="71"/>
      <c r="AH275" s="57"/>
      <c r="AI275" s="57"/>
      <c r="AJ275" s="57"/>
      <c r="AK275" s="57"/>
      <c r="AL275" s="57"/>
      <c r="AM275" s="57"/>
      <c r="AN275" s="57"/>
      <c r="AO275" s="57"/>
      <c r="AP275" s="71"/>
      <c r="AQ275" s="57"/>
      <c r="AR275" s="57"/>
      <c r="AS275" s="57"/>
      <c r="AT275" s="57"/>
      <c r="AU275" s="57"/>
      <c r="AV275" s="57"/>
      <c r="AW275" s="57"/>
      <c r="AX275" s="57"/>
      <c r="AY275" s="71"/>
      <c r="AZ275" s="57"/>
      <c r="BA275" s="55"/>
      <c r="BB275" s="55"/>
      <c r="BC275" s="55"/>
      <c r="BD275" s="55"/>
      <c r="BE275" s="55"/>
      <c r="BF275" s="55"/>
      <c r="BG275" s="57"/>
      <c r="BH275" s="65"/>
      <c r="BI275" s="55"/>
      <c r="BJ275" s="55"/>
      <c r="BK275" s="55"/>
      <c r="BL275" s="55"/>
      <c r="BM275" s="55"/>
      <c r="BN275" s="55"/>
      <c r="BO275" s="55"/>
      <c r="BP275" s="55"/>
      <c r="BQ275" s="65"/>
      <c r="BR275" s="55"/>
      <c r="BS275" s="55"/>
      <c r="BT275" s="55"/>
      <c r="BU275" s="55"/>
      <c r="BV275" s="55"/>
      <c r="BW275" s="55"/>
      <c r="BX275" s="55"/>
      <c r="BY275" s="55"/>
      <c r="BZ275" s="65"/>
      <c r="CA275" s="55"/>
      <c r="CB275" s="55"/>
      <c r="CC275" s="55"/>
      <c r="CD275" s="55"/>
      <c r="CE275" s="55"/>
      <c r="CF275" s="55"/>
      <c r="CG275" s="55"/>
      <c r="CH275" s="55"/>
      <c r="CI275" s="55"/>
    </row>
    <row r="276" spans="1:87">
      <c r="A276" s="12" t="str">
        <f>Roster!A276</f>
        <v/>
      </c>
      <c r="B276" s="28">
        <f>Roster!C276</f>
        <v>0</v>
      </c>
      <c r="C276" s="28" t="str">
        <f>IF(COUNTIFS(Table36103[[#This Row],[Continue Existing]:[Start New]], "TRUE")=0, "YES", "NO")</f>
        <v>YES</v>
      </c>
      <c r="D276" s="28" t="b">
        <f>COUNTIFS(Table36103[[#This Row],[Screening Results: Drug &amp; Alcohol Assessment 1]:[Other Reason 9]], "Continue with existing treatment services")&gt;0</f>
        <v>0</v>
      </c>
      <c r="E276" s="28" t="b">
        <f>COUNTIFS(Table36103[[#This Row],[Screening Results: Drug &amp; Alcohol Assessment 1]:[Other Reason 9]], "Start new service")&gt;0</f>
        <v>0</v>
      </c>
      <c r="F276" s="55"/>
      <c r="G276" s="56"/>
      <c r="H276" s="57"/>
      <c r="I276" s="57"/>
      <c r="J276" s="57"/>
      <c r="K276" s="57"/>
      <c r="L276" s="57"/>
      <c r="M276" s="57"/>
      <c r="N276" s="45"/>
      <c r="O276" s="58"/>
      <c r="P276" s="56"/>
      <c r="Q276" s="57"/>
      <c r="R276" s="57"/>
      <c r="S276" s="57"/>
      <c r="T276" s="57"/>
      <c r="U276" s="57"/>
      <c r="V276" s="57"/>
      <c r="W276" s="45"/>
      <c r="X276" s="71"/>
      <c r="Y276" s="57"/>
      <c r="Z276" s="57"/>
      <c r="AA276" s="57"/>
      <c r="AB276" s="57"/>
      <c r="AC276" s="57"/>
      <c r="AD276" s="57"/>
      <c r="AE276" s="57"/>
      <c r="AF276" s="57"/>
      <c r="AG276" s="71"/>
      <c r="AH276" s="57"/>
      <c r="AI276" s="57"/>
      <c r="AJ276" s="57"/>
      <c r="AK276" s="57"/>
      <c r="AL276" s="57"/>
      <c r="AM276" s="57"/>
      <c r="AN276" s="57"/>
      <c r="AO276" s="57"/>
      <c r="AP276" s="71"/>
      <c r="AQ276" s="57"/>
      <c r="AR276" s="57"/>
      <c r="AS276" s="57"/>
      <c r="AT276" s="57"/>
      <c r="AU276" s="57"/>
      <c r="AV276" s="57"/>
      <c r="AW276" s="57"/>
      <c r="AX276" s="57"/>
      <c r="AY276" s="71"/>
      <c r="AZ276" s="57"/>
      <c r="BA276" s="55"/>
      <c r="BB276" s="55"/>
      <c r="BC276" s="55"/>
      <c r="BD276" s="55"/>
      <c r="BE276" s="55"/>
      <c r="BF276" s="55"/>
      <c r="BG276" s="57"/>
      <c r="BH276" s="65"/>
      <c r="BI276" s="55"/>
      <c r="BJ276" s="55"/>
      <c r="BK276" s="55"/>
      <c r="BL276" s="55"/>
      <c r="BM276" s="55"/>
      <c r="BN276" s="55"/>
      <c r="BO276" s="55"/>
      <c r="BP276" s="55"/>
      <c r="BQ276" s="65"/>
      <c r="BR276" s="55"/>
      <c r="BS276" s="55"/>
      <c r="BT276" s="55"/>
      <c r="BU276" s="55"/>
      <c r="BV276" s="55"/>
      <c r="BW276" s="55"/>
      <c r="BX276" s="55"/>
      <c r="BY276" s="55"/>
      <c r="BZ276" s="65"/>
      <c r="CA276" s="55"/>
      <c r="CB276" s="55"/>
      <c r="CC276" s="55"/>
      <c r="CD276" s="55"/>
      <c r="CE276" s="55"/>
      <c r="CF276" s="55"/>
      <c r="CG276" s="55"/>
      <c r="CH276" s="55"/>
      <c r="CI276" s="55"/>
    </row>
    <row r="277" spans="1:87">
      <c r="A277" s="12" t="str">
        <f>Roster!A277</f>
        <v/>
      </c>
      <c r="B277" s="28">
        <f>Roster!C277</f>
        <v>0</v>
      </c>
      <c r="C277" s="28" t="str">
        <f>IF(COUNTIFS(Table36103[[#This Row],[Continue Existing]:[Start New]], "TRUE")=0, "YES", "NO")</f>
        <v>YES</v>
      </c>
      <c r="D277" s="28" t="b">
        <f>COUNTIFS(Table36103[[#This Row],[Screening Results: Drug &amp; Alcohol Assessment 1]:[Other Reason 9]], "Continue with existing treatment services")&gt;0</f>
        <v>0</v>
      </c>
      <c r="E277" s="28" t="b">
        <f>COUNTIFS(Table36103[[#This Row],[Screening Results: Drug &amp; Alcohol Assessment 1]:[Other Reason 9]], "Start new service")&gt;0</f>
        <v>0</v>
      </c>
      <c r="F277" s="55"/>
      <c r="G277" s="56"/>
      <c r="H277" s="57"/>
      <c r="I277" s="57"/>
      <c r="J277" s="57"/>
      <c r="K277" s="57"/>
      <c r="L277" s="57"/>
      <c r="M277" s="57"/>
      <c r="N277" s="45"/>
      <c r="O277" s="58"/>
      <c r="P277" s="56"/>
      <c r="Q277" s="57"/>
      <c r="R277" s="57"/>
      <c r="S277" s="57"/>
      <c r="T277" s="57"/>
      <c r="U277" s="57"/>
      <c r="V277" s="57"/>
      <c r="W277" s="45"/>
      <c r="X277" s="71"/>
      <c r="Y277" s="57"/>
      <c r="Z277" s="57"/>
      <c r="AA277" s="57"/>
      <c r="AB277" s="57"/>
      <c r="AC277" s="57"/>
      <c r="AD277" s="57"/>
      <c r="AE277" s="57"/>
      <c r="AF277" s="57"/>
      <c r="AG277" s="71"/>
      <c r="AH277" s="57"/>
      <c r="AI277" s="57"/>
      <c r="AJ277" s="57"/>
      <c r="AK277" s="57"/>
      <c r="AL277" s="57"/>
      <c r="AM277" s="57"/>
      <c r="AN277" s="57"/>
      <c r="AO277" s="57"/>
      <c r="AP277" s="71"/>
      <c r="AQ277" s="57"/>
      <c r="AR277" s="57"/>
      <c r="AS277" s="57"/>
      <c r="AT277" s="57"/>
      <c r="AU277" s="57"/>
      <c r="AV277" s="57"/>
      <c r="AW277" s="57"/>
      <c r="AX277" s="57"/>
      <c r="AY277" s="71"/>
      <c r="AZ277" s="57"/>
      <c r="BA277" s="55"/>
      <c r="BB277" s="55"/>
      <c r="BC277" s="55"/>
      <c r="BD277" s="55"/>
      <c r="BE277" s="55"/>
      <c r="BF277" s="55"/>
      <c r="BG277" s="57"/>
      <c r="BH277" s="65"/>
      <c r="BI277" s="55"/>
      <c r="BJ277" s="55"/>
      <c r="BK277" s="55"/>
      <c r="BL277" s="55"/>
      <c r="BM277" s="55"/>
      <c r="BN277" s="55"/>
      <c r="BO277" s="55"/>
      <c r="BP277" s="55"/>
      <c r="BQ277" s="65"/>
      <c r="BR277" s="55"/>
      <c r="BS277" s="55"/>
      <c r="BT277" s="55"/>
      <c r="BU277" s="55"/>
      <c r="BV277" s="55"/>
      <c r="BW277" s="55"/>
      <c r="BX277" s="55"/>
      <c r="BY277" s="55"/>
      <c r="BZ277" s="65"/>
      <c r="CA277" s="55"/>
      <c r="CB277" s="55"/>
      <c r="CC277" s="55"/>
      <c r="CD277" s="55"/>
      <c r="CE277" s="55"/>
      <c r="CF277" s="55"/>
      <c r="CG277" s="55"/>
      <c r="CH277" s="55"/>
      <c r="CI277" s="55"/>
    </row>
    <row r="278" spans="1:87">
      <c r="A278" s="12" t="str">
        <f>Roster!A278</f>
        <v/>
      </c>
      <c r="B278" s="28">
        <f>Roster!C278</f>
        <v>0</v>
      </c>
      <c r="C278" s="28" t="str">
        <f>IF(COUNTIFS(Table36103[[#This Row],[Continue Existing]:[Start New]], "TRUE")=0, "YES", "NO")</f>
        <v>YES</v>
      </c>
      <c r="D278" s="28" t="b">
        <f>COUNTIFS(Table36103[[#This Row],[Screening Results: Drug &amp; Alcohol Assessment 1]:[Other Reason 9]], "Continue with existing treatment services")&gt;0</f>
        <v>0</v>
      </c>
      <c r="E278" s="28" t="b">
        <f>COUNTIFS(Table36103[[#This Row],[Screening Results: Drug &amp; Alcohol Assessment 1]:[Other Reason 9]], "Start new service")&gt;0</f>
        <v>0</v>
      </c>
      <c r="F278" s="55"/>
      <c r="G278" s="56"/>
      <c r="H278" s="57"/>
      <c r="I278" s="57"/>
      <c r="J278" s="57"/>
      <c r="K278" s="57"/>
      <c r="L278" s="57"/>
      <c r="M278" s="57"/>
      <c r="N278" s="45"/>
      <c r="O278" s="58"/>
      <c r="P278" s="56"/>
      <c r="Q278" s="57"/>
      <c r="R278" s="57"/>
      <c r="S278" s="57"/>
      <c r="T278" s="57"/>
      <c r="U278" s="57"/>
      <c r="V278" s="57"/>
      <c r="W278" s="45"/>
      <c r="X278" s="71"/>
      <c r="Y278" s="57"/>
      <c r="Z278" s="57"/>
      <c r="AA278" s="57"/>
      <c r="AB278" s="57"/>
      <c r="AC278" s="57"/>
      <c r="AD278" s="57"/>
      <c r="AE278" s="57"/>
      <c r="AF278" s="57"/>
      <c r="AG278" s="71"/>
      <c r="AH278" s="57"/>
      <c r="AI278" s="57"/>
      <c r="AJ278" s="57"/>
      <c r="AK278" s="57"/>
      <c r="AL278" s="57"/>
      <c r="AM278" s="57"/>
      <c r="AN278" s="57"/>
      <c r="AO278" s="57"/>
      <c r="AP278" s="71"/>
      <c r="AQ278" s="57"/>
      <c r="AR278" s="57"/>
      <c r="AS278" s="57"/>
      <c r="AT278" s="57"/>
      <c r="AU278" s="57"/>
      <c r="AV278" s="57"/>
      <c r="AW278" s="57"/>
      <c r="AX278" s="57"/>
      <c r="AY278" s="71"/>
      <c r="AZ278" s="57"/>
      <c r="BA278" s="55"/>
      <c r="BB278" s="55"/>
      <c r="BC278" s="55"/>
      <c r="BD278" s="55"/>
      <c r="BE278" s="55"/>
      <c r="BF278" s="55"/>
      <c r="BG278" s="57"/>
      <c r="BH278" s="65"/>
      <c r="BI278" s="55"/>
      <c r="BJ278" s="55"/>
      <c r="BK278" s="55"/>
      <c r="BL278" s="55"/>
      <c r="BM278" s="55"/>
      <c r="BN278" s="55"/>
      <c r="BO278" s="55"/>
      <c r="BP278" s="55"/>
      <c r="BQ278" s="65"/>
      <c r="BR278" s="55"/>
      <c r="BS278" s="55"/>
      <c r="BT278" s="55"/>
      <c r="BU278" s="55"/>
      <c r="BV278" s="55"/>
      <c r="BW278" s="55"/>
      <c r="BX278" s="55"/>
      <c r="BY278" s="55"/>
      <c r="BZ278" s="65"/>
      <c r="CA278" s="55"/>
      <c r="CB278" s="55"/>
      <c r="CC278" s="55"/>
      <c r="CD278" s="55"/>
      <c r="CE278" s="55"/>
      <c r="CF278" s="55"/>
      <c r="CG278" s="55"/>
      <c r="CH278" s="55"/>
      <c r="CI278" s="55"/>
    </row>
    <row r="279" spans="1:87">
      <c r="A279" s="12" t="str">
        <f>Roster!A279</f>
        <v/>
      </c>
      <c r="B279" s="28">
        <f>Roster!C279</f>
        <v>0</v>
      </c>
      <c r="C279" s="28" t="str">
        <f>IF(COUNTIFS(Table36103[[#This Row],[Continue Existing]:[Start New]], "TRUE")=0, "YES", "NO")</f>
        <v>YES</v>
      </c>
      <c r="D279" s="28" t="b">
        <f>COUNTIFS(Table36103[[#This Row],[Screening Results: Drug &amp; Alcohol Assessment 1]:[Other Reason 9]], "Continue with existing treatment services")&gt;0</f>
        <v>0</v>
      </c>
      <c r="E279" s="28" t="b">
        <f>COUNTIFS(Table36103[[#This Row],[Screening Results: Drug &amp; Alcohol Assessment 1]:[Other Reason 9]], "Start new service")&gt;0</f>
        <v>0</v>
      </c>
      <c r="F279" s="55"/>
      <c r="G279" s="56"/>
      <c r="H279" s="57"/>
      <c r="I279" s="57"/>
      <c r="J279" s="57"/>
      <c r="K279" s="57"/>
      <c r="L279" s="57"/>
      <c r="M279" s="57"/>
      <c r="N279" s="45"/>
      <c r="O279" s="58"/>
      <c r="P279" s="56"/>
      <c r="Q279" s="57"/>
      <c r="R279" s="57"/>
      <c r="S279" s="57"/>
      <c r="T279" s="57"/>
      <c r="U279" s="57"/>
      <c r="V279" s="57"/>
      <c r="W279" s="45"/>
      <c r="X279" s="71"/>
      <c r="Y279" s="57"/>
      <c r="Z279" s="57"/>
      <c r="AA279" s="57"/>
      <c r="AB279" s="57"/>
      <c r="AC279" s="57"/>
      <c r="AD279" s="57"/>
      <c r="AE279" s="57"/>
      <c r="AF279" s="57"/>
      <c r="AG279" s="71"/>
      <c r="AH279" s="57"/>
      <c r="AI279" s="57"/>
      <c r="AJ279" s="57"/>
      <c r="AK279" s="57"/>
      <c r="AL279" s="57"/>
      <c r="AM279" s="57"/>
      <c r="AN279" s="57"/>
      <c r="AO279" s="57"/>
      <c r="AP279" s="71"/>
      <c r="AQ279" s="57"/>
      <c r="AR279" s="57"/>
      <c r="AS279" s="57"/>
      <c r="AT279" s="57"/>
      <c r="AU279" s="57"/>
      <c r="AV279" s="57"/>
      <c r="AW279" s="57"/>
      <c r="AX279" s="57"/>
      <c r="AY279" s="71"/>
      <c r="AZ279" s="57"/>
      <c r="BA279" s="55"/>
      <c r="BB279" s="55"/>
      <c r="BC279" s="55"/>
      <c r="BD279" s="55"/>
      <c r="BE279" s="55"/>
      <c r="BF279" s="55"/>
      <c r="BG279" s="57"/>
      <c r="BH279" s="65"/>
      <c r="BI279" s="55"/>
      <c r="BJ279" s="55"/>
      <c r="BK279" s="55"/>
      <c r="BL279" s="55"/>
      <c r="BM279" s="55"/>
      <c r="BN279" s="55"/>
      <c r="BO279" s="55"/>
      <c r="BP279" s="55"/>
      <c r="BQ279" s="65"/>
      <c r="BR279" s="55"/>
      <c r="BS279" s="55"/>
      <c r="BT279" s="55"/>
      <c r="BU279" s="55"/>
      <c r="BV279" s="55"/>
      <c r="BW279" s="55"/>
      <c r="BX279" s="55"/>
      <c r="BY279" s="55"/>
      <c r="BZ279" s="65"/>
      <c r="CA279" s="55"/>
      <c r="CB279" s="55"/>
      <c r="CC279" s="55"/>
      <c r="CD279" s="55"/>
      <c r="CE279" s="55"/>
      <c r="CF279" s="55"/>
      <c r="CG279" s="55"/>
      <c r="CH279" s="55"/>
      <c r="CI279" s="55"/>
    </row>
    <row r="280" spans="1:87">
      <c r="A280" s="12" t="str">
        <f>Roster!A280</f>
        <v/>
      </c>
      <c r="B280" s="28">
        <f>Roster!C280</f>
        <v>0</v>
      </c>
      <c r="C280" s="28" t="str">
        <f>IF(COUNTIFS(Table36103[[#This Row],[Continue Existing]:[Start New]], "TRUE")=0, "YES", "NO")</f>
        <v>YES</v>
      </c>
      <c r="D280" s="28" t="b">
        <f>COUNTIFS(Table36103[[#This Row],[Screening Results: Drug &amp; Alcohol Assessment 1]:[Other Reason 9]], "Continue with existing treatment services")&gt;0</f>
        <v>0</v>
      </c>
      <c r="E280" s="28" t="b">
        <f>COUNTIFS(Table36103[[#This Row],[Screening Results: Drug &amp; Alcohol Assessment 1]:[Other Reason 9]], "Start new service")&gt;0</f>
        <v>0</v>
      </c>
      <c r="F280" s="55"/>
      <c r="G280" s="56"/>
      <c r="H280" s="57"/>
      <c r="I280" s="57"/>
      <c r="J280" s="57"/>
      <c r="K280" s="57"/>
      <c r="L280" s="57"/>
      <c r="M280" s="57"/>
      <c r="N280" s="45"/>
      <c r="O280" s="58"/>
      <c r="P280" s="56"/>
      <c r="Q280" s="57"/>
      <c r="R280" s="57"/>
      <c r="S280" s="57"/>
      <c r="T280" s="57"/>
      <c r="U280" s="57"/>
      <c r="V280" s="57"/>
      <c r="W280" s="45"/>
      <c r="X280" s="71"/>
      <c r="Y280" s="57"/>
      <c r="Z280" s="57"/>
      <c r="AA280" s="57"/>
      <c r="AB280" s="57"/>
      <c r="AC280" s="57"/>
      <c r="AD280" s="57"/>
      <c r="AE280" s="57"/>
      <c r="AF280" s="57"/>
      <c r="AG280" s="71"/>
      <c r="AH280" s="57"/>
      <c r="AI280" s="57"/>
      <c r="AJ280" s="57"/>
      <c r="AK280" s="57"/>
      <c r="AL280" s="57"/>
      <c r="AM280" s="57"/>
      <c r="AN280" s="57"/>
      <c r="AO280" s="57"/>
      <c r="AP280" s="71"/>
      <c r="AQ280" s="57"/>
      <c r="AR280" s="57"/>
      <c r="AS280" s="57"/>
      <c r="AT280" s="57"/>
      <c r="AU280" s="57"/>
      <c r="AV280" s="57"/>
      <c r="AW280" s="57"/>
      <c r="AX280" s="57"/>
      <c r="AY280" s="71"/>
      <c r="AZ280" s="57"/>
      <c r="BA280" s="55"/>
      <c r="BB280" s="55"/>
      <c r="BC280" s="55"/>
      <c r="BD280" s="55"/>
      <c r="BE280" s="55"/>
      <c r="BF280" s="55"/>
      <c r="BG280" s="57"/>
      <c r="BH280" s="65"/>
      <c r="BI280" s="55"/>
      <c r="BJ280" s="55"/>
      <c r="BK280" s="55"/>
      <c r="BL280" s="55"/>
      <c r="BM280" s="55"/>
      <c r="BN280" s="55"/>
      <c r="BO280" s="55"/>
      <c r="BP280" s="55"/>
      <c r="BQ280" s="65"/>
      <c r="BR280" s="55"/>
      <c r="BS280" s="55"/>
      <c r="BT280" s="55"/>
      <c r="BU280" s="55"/>
      <c r="BV280" s="55"/>
      <c r="BW280" s="55"/>
      <c r="BX280" s="55"/>
      <c r="BY280" s="55"/>
      <c r="BZ280" s="65"/>
      <c r="CA280" s="55"/>
      <c r="CB280" s="55"/>
      <c r="CC280" s="55"/>
      <c r="CD280" s="55"/>
      <c r="CE280" s="55"/>
      <c r="CF280" s="55"/>
      <c r="CG280" s="55"/>
      <c r="CH280" s="55"/>
      <c r="CI280" s="55"/>
    </row>
    <row r="281" spans="1:87">
      <c r="A281" s="12" t="str">
        <f>Roster!A281</f>
        <v/>
      </c>
      <c r="B281" s="28">
        <f>Roster!C281</f>
        <v>0</v>
      </c>
      <c r="C281" s="28" t="str">
        <f>IF(COUNTIFS(Table36103[[#This Row],[Continue Existing]:[Start New]], "TRUE")=0, "YES", "NO")</f>
        <v>YES</v>
      </c>
      <c r="D281" s="28" t="b">
        <f>COUNTIFS(Table36103[[#This Row],[Screening Results: Drug &amp; Alcohol Assessment 1]:[Other Reason 9]], "Continue with existing treatment services")&gt;0</f>
        <v>0</v>
      </c>
      <c r="E281" s="28" t="b">
        <f>COUNTIFS(Table36103[[#This Row],[Screening Results: Drug &amp; Alcohol Assessment 1]:[Other Reason 9]], "Start new service")&gt;0</f>
        <v>0</v>
      </c>
      <c r="F281" s="55"/>
      <c r="G281" s="56"/>
      <c r="H281" s="57"/>
      <c r="I281" s="57"/>
      <c r="J281" s="57"/>
      <c r="K281" s="57"/>
      <c r="L281" s="57"/>
      <c r="M281" s="57"/>
      <c r="N281" s="45"/>
      <c r="O281" s="58"/>
      <c r="P281" s="56"/>
      <c r="Q281" s="57"/>
      <c r="R281" s="57"/>
      <c r="S281" s="57"/>
      <c r="T281" s="57"/>
      <c r="U281" s="57"/>
      <c r="V281" s="57"/>
      <c r="W281" s="45"/>
      <c r="X281" s="71"/>
      <c r="Y281" s="57"/>
      <c r="Z281" s="57"/>
      <c r="AA281" s="57"/>
      <c r="AB281" s="57"/>
      <c r="AC281" s="57"/>
      <c r="AD281" s="57"/>
      <c r="AE281" s="57"/>
      <c r="AF281" s="57"/>
      <c r="AG281" s="71"/>
      <c r="AH281" s="57"/>
      <c r="AI281" s="57"/>
      <c r="AJ281" s="57"/>
      <c r="AK281" s="57"/>
      <c r="AL281" s="57"/>
      <c r="AM281" s="57"/>
      <c r="AN281" s="57"/>
      <c r="AO281" s="57"/>
      <c r="AP281" s="71"/>
      <c r="AQ281" s="57"/>
      <c r="AR281" s="57"/>
      <c r="AS281" s="57"/>
      <c r="AT281" s="57"/>
      <c r="AU281" s="57"/>
      <c r="AV281" s="57"/>
      <c r="AW281" s="57"/>
      <c r="AX281" s="57"/>
      <c r="AY281" s="71"/>
      <c r="AZ281" s="57"/>
      <c r="BA281" s="55"/>
      <c r="BB281" s="55"/>
      <c r="BC281" s="55"/>
      <c r="BD281" s="55"/>
      <c r="BE281" s="55"/>
      <c r="BF281" s="55"/>
      <c r="BG281" s="57"/>
      <c r="BH281" s="65"/>
      <c r="BI281" s="55"/>
      <c r="BJ281" s="55"/>
      <c r="BK281" s="55"/>
      <c r="BL281" s="55"/>
      <c r="BM281" s="55"/>
      <c r="BN281" s="55"/>
      <c r="BO281" s="55"/>
      <c r="BP281" s="55"/>
      <c r="BQ281" s="65"/>
      <c r="BR281" s="55"/>
      <c r="BS281" s="55"/>
      <c r="BT281" s="55"/>
      <c r="BU281" s="55"/>
      <c r="BV281" s="55"/>
      <c r="BW281" s="55"/>
      <c r="BX281" s="55"/>
      <c r="BY281" s="55"/>
      <c r="BZ281" s="65"/>
      <c r="CA281" s="55"/>
      <c r="CB281" s="55"/>
      <c r="CC281" s="55"/>
      <c r="CD281" s="55"/>
      <c r="CE281" s="55"/>
      <c r="CF281" s="55"/>
      <c r="CG281" s="55"/>
      <c r="CH281" s="55"/>
      <c r="CI281" s="55"/>
    </row>
    <row r="282" spans="1:87">
      <c r="A282" s="12" t="str">
        <f>Roster!A282</f>
        <v/>
      </c>
      <c r="B282" s="28">
        <f>Roster!C282</f>
        <v>0</v>
      </c>
      <c r="C282" s="28" t="str">
        <f>IF(COUNTIFS(Table36103[[#This Row],[Continue Existing]:[Start New]], "TRUE")=0, "YES", "NO")</f>
        <v>YES</v>
      </c>
      <c r="D282" s="28" t="b">
        <f>COUNTIFS(Table36103[[#This Row],[Screening Results: Drug &amp; Alcohol Assessment 1]:[Other Reason 9]], "Continue with existing treatment services")&gt;0</f>
        <v>0</v>
      </c>
      <c r="E282" s="28" t="b">
        <f>COUNTIFS(Table36103[[#This Row],[Screening Results: Drug &amp; Alcohol Assessment 1]:[Other Reason 9]], "Start new service")&gt;0</f>
        <v>0</v>
      </c>
      <c r="F282" s="55"/>
      <c r="G282" s="56"/>
      <c r="H282" s="57"/>
      <c r="I282" s="57"/>
      <c r="J282" s="57"/>
      <c r="K282" s="57"/>
      <c r="L282" s="57"/>
      <c r="M282" s="57"/>
      <c r="N282" s="45"/>
      <c r="O282" s="58"/>
      <c r="P282" s="56"/>
      <c r="Q282" s="57"/>
      <c r="R282" s="57"/>
      <c r="S282" s="57"/>
      <c r="T282" s="57"/>
      <c r="U282" s="57"/>
      <c r="V282" s="57"/>
      <c r="W282" s="45"/>
      <c r="X282" s="71"/>
      <c r="Y282" s="57"/>
      <c r="Z282" s="57"/>
      <c r="AA282" s="57"/>
      <c r="AB282" s="57"/>
      <c r="AC282" s="57"/>
      <c r="AD282" s="57"/>
      <c r="AE282" s="57"/>
      <c r="AF282" s="57"/>
      <c r="AG282" s="71"/>
      <c r="AH282" s="57"/>
      <c r="AI282" s="57"/>
      <c r="AJ282" s="57"/>
      <c r="AK282" s="57"/>
      <c r="AL282" s="57"/>
      <c r="AM282" s="57"/>
      <c r="AN282" s="57"/>
      <c r="AO282" s="57"/>
      <c r="AP282" s="71"/>
      <c r="AQ282" s="57"/>
      <c r="AR282" s="57"/>
      <c r="AS282" s="57"/>
      <c r="AT282" s="57"/>
      <c r="AU282" s="57"/>
      <c r="AV282" s="57"/>
      <c r="AW282" s="57"/>
      <c r="AX282" s="57"/>
      <c r="AY282" s="71"/>
      <c r="AZ282" s="57"/>
      <c r="BA282" s="55"/>
      <c r="BB282" s="55"/>
      <c r="BC282" s="55"/>
      <c r="BD282" s="55"/>
      <c r="BE282" s="55"/>
      <c r="BF282" s="55"/>
      <c r="BG282" s="57"/>
      <c r="BH282" s="65"/>
      <c r="BI282" s="55"/>
      <c r="BJ282" s="55"/>
      <c r="BK282" s="55"/>
      <c r="BL282" s="55"/>
      <c r="BM282" s="55"/>
      <c r="BN282" s="55"/>
      <c r="BO282" s="55"/>
      <c r="BP282" s="55"/>
      <c r="BQ282" s="65"/>
      <c r="BR282" s="55"/>
      <c r="BS282" s="55"/>
      <c r="BT282" s="55"/>
      <c r="BU282" s="55"/>
      <c r="BV282" s="55"/>
      <c r="BW282" s="55"/>
      <c r="BX282" s="55"/>
      <c r="BY282" s="55"/>
      <c r="BZ282" s="65"/>
      <c r="CA282" s="55"/>
      <c r="CB282" s="55"/>
      <c r="CC282" s="55"/>
      <c r="CD282" s="55"/>
      <c r="CE282" s="55"/>
      <c r="CF282" s="55"/>
      <c r="CG282" s="55"/>
      <c r="CH282" s="55"/>
      <c r="CI282" s="55"/>
    </row>
    <row r="283" spans="1:87">
      <c r="A283" s="12" t="str">
        <f>Roster!A283</f>
        <v/>
      </c>
      <c r="B283" s="28">
        <f>Roster!C283</f>
        <v>0</v>
      </c>
      <c r="C283" s="28" t="str">
        <f>IF(COUNTIFS(Table36103[[#This Row],[Continue Existing]:[Start New]], "TRUE")=0, "YES", "NO")</f>
        <v>YES</v>
      </c>
      <c r="D283" s="28" t="b">
        <f>COUNTIFS(Table36103[[#This Row],[Screening Results: Drug &amp; Alcohol Assessment 1]:[Other Reason 9]], "Continue with existing treatment services")&gt;0</f>
        <v>0</v>
      </c>
      <c r="E283" s="28" t="b">
        <f>COUNTIFS(Table36103[[#This Row],[Screening Results: Drug &amp; Alcohol Assessment 1]:[Other Reason 9]], "Start new service")&gt;0</f>
        <v>0</v>
      </c>
      <c r="F283" s="55"/>
      <c r="G283" s="56"/>
      <c r="H283" s="57"/>
      <c r="I283" s="57"/>
      <c r="J283" s="57"/>
      <c r="K283" s="57"/>
      <c r="L283" s="57"/>
      <c r="M283" s="57"/>
      <c r="N283" s="45"/>
      <c r="O283" s="58"/>
      <c r="P283" s="56"/>
      <c r="Q283" s="57"/>
      <c r="R283" s="57"/>
      <c r="S283" s="57"/>
      <c r="T283" s="57"/>
      <c r="U283" s="57"/>
      <c r="V283" s="57"/>
      <c r="W283" s="45"/>
      <c r="X283" s="71"/>
      <c r="Y283" s="57"/>
      <c r="Z283" s="57"/>
      <c r="AA283" s="57"/>
      <c r="AB283" s="57"/>
      <c r="AC283" s="57"/>
      <c r="AD283" s="57"/>
      <c r="AE283" s="57"/>
      <c r="AF283" s="57"/>
      <c r="AG283" s="71"/>
      <c r="AH283" s="57"/>
      <c r="AI283" s="57"/>
      <c r="AJ283" s="57"/>
      <c r="AK283" s="57"/>
      <c r="AL283" s="57"/>
      <c r="AM283" s="57"/>
      <c r="AN283" s="57"/>
      <c r="AO283" s="57"/>
      <c r="AP283" s="71"/>
      <c r="AQ283" s="57"/>
      <c r="AR283" s="57"/>
      <c r="AS283" s="57"/>
      <c r="AT283" s="57"/>
      <c r="AU283" s="57"/>
      <c r="AV283" s="57"/>
      <c r="AW283" s="57"/>
      <c r="AX283" s="57"/>
      <c r="AY283" s="71"/>
      <c r="AZ283" s="57"/>
      <c r="BA283" s="55"/>
      <c r="BB283" s="55"/>
      <c r="BC283" s="55"/>
      <c r="BD283" s="55"/>
      <c r="BE283" s="55"/>
      <c r="BF283" s="55"/>
      <c r="BG283" s="57"/>
      <c r="BH283" s="65"/>
      <c r="BI283" s="55"/>
      <c r="BJ283" s="55"/>
      <c r="BK283" s="55"/>
      <c r="BL283" s="55"/>
      <c r="BM283" s="55"/>
      <c r="BN283" s="55"/>
      <c r="BO283" s="55"/>
      <c r="BP283" s="55"/>
      <c r="BQ283" s="65"/>
      <c r="BR283" s="55"/>
      <c r="BS283" s="55"/>
      <c r="BT283" s="55"/>
      <c r="BU283" s="55"/>
      <c r="BV283" s="55"/>
      <c r="BW283" s="55"/>
      <c r="BX283" s="55"/>
      <c r="BY283" s="55"/>
      <c r="BZ283" s="65"/>
      <c r="CA283" s="55"/>
      <c r="CB283" s="55"/>
      <c r="CC283" s="55"/>
      <c r="CD283" s="55"/>
      <c r="CE283" s="55"/>
      <c r="CF283" s="55"/>
      <c r="CG283" s="55"/>
      <c r="CH283" s="55"/>
      <c r="CI283" s="55"/>
    </row>
    <row r="284" spans="1:87">
      <c r="A284" s="12" t="str">
        <f>Roster!A284</f>
        <v/>
      </c>
      <c r="B284" s="28">
        <f>Roster!C284</f>
        <v>0</v>
      </c>
      <c r="C284" s="28" t="str">
        <f>IF(COUNTIFS(Table36103[[#This Row],[Continue Existing]:[Start New]], "TRUE")=0, "YES", "NO")</f>
        <v>YES</v>
      </c>
      <c r="D284" s="28" t="b">
        <f>COUNTIFS(Table36103[[#This Row],[Screening Results: Drug &amp; Alcohol Assessment 1]:[Other Reason 9]], "Continue with existing treatment services")&gt;0</f>
        <v>0</v>
      </c>
      <c r="E284" s="28" t="b">
        <f>COUNTIFS(Table36103[[#This Row],[Screening Results: Drug &amp; Alcohol Assessment 1]:[Other Reason 9]], "Start new service")&gt;0</f>
        <v>0</v>
      </c>
      <c r="F284" s="55"/>
      <c r="G284" s="56"/>
      <c r="H284" s="57"/>
      <c r="I284" s="57"/>
      <c r="J284" s="57"/>
      <c r="K284" s="57"/>
      <c r="L284" s="57"/>
      <c r="M284" s="57"/>
      <c r="N284" s="45"/>
      <c r="O284" s="58"/>
      <c r="P284" s="56"/>
      <c r="Q284" s="57"/>
      <c r="R284" s="57"/>
      <c r="S284" s="57"/>
      <c r="T284" s="57"/>
      <c r="U284" s="57"/>
      <c r="V284" s="57"/>
      <c r="W284" s="45"/>
      <c r="X284" s="71"/>
      <c r="Y284" s="57"/>
      <c r="Z284" s="57"/>
      <c r="AA284" s="57"/>
      <c r="AB284" s="57"/>
      <c r="AC284" s="57"/>
      <c r="AD284" s="57"/>
      <c r="AE284" s="57"/>
      <c r="AF284" s="57"/>
      <c r="AG284" s="71"/>
      <c r="AH284" s="57"/>
      <c r="AI284" s="57"/>
      <c r="AJ284" s="57"/>
      <c r="AK284" s="57"/>
      <c r="AL284" s="57"/>
      <c r="AM284" s="57"/>
      <c r="AN284" s="57"/>
      <c r="AO284" s="57"/>
      <c r="AP284" s="71"/>
      <c r="AQ284" s="57"/>
      <c r="AR284" s="57"/>
      <c r="AS284" s="57"/>
      <c r="AT284" s="57"/>
      <c r="AU284" s="57"/>
      <c r="AV284" s="57"/>
      <c r="AW284" s="57"/>
      <c r="AX284" s="57"/>
      <c r="AY284" s="71"/>
      <c r="AZ284" s="57"/>
      <c r="BA284" s="55"/>
      <c r="BB284" s="55"/>
      <c r="BC284" s="55"/>
      <c r="BD284" s="55"/>
      <c r="BE284" s="55"/>
      <c r="BF284" s="55"/>
      <c r="BG284" s="57"/>
      <c r="BH284" s="65"/>
      <c r="BI284" s="55"/>
      <c r="BJ284" s="55"/>
      <c r="BK284" s="55"/>
      <c r="BL284" s="55"/>
      <c r="BM284" s="55"/>
      <c r="BN284" s="55"/>
      <c r="BO284" s="55"/>
      <c r="BP284" s="55"/>
      <c r="BQ284" s="65"/>
      <c r="BR284" s="55"/>
      <c r="BS284" s="55"/>
      <c r="BT284" s="55"/>
      <c r="BU284" s="55"/>
      <c r="BV284" s="55"/>
      <c r="BW284" s="55"/>
      <c r="BX284" s="55"/>
      <c r="BY284" s="55"/>
      <c r="BZ284" s="65"/>
      <c r="CA284" s="55"/>
      <c r="CB284" s="55"/>
      <c r="CC284" s="55"/>
      <c r="CD284" s="55"/>
      <c r="CE284" s="55"/>
      <c r="CF284" s="55"/>
      <c r="CG284" s="55"/>
      <c r="CH284" s="55"/>
      <c r="CI284" s="55"/>
    </row>
    <row r="285" spans="1:87">
      <c r="A285" s="12" t="str">
        <f>Roster!A285</f>
        <v/>
      </c>
      <c r="B285" s="28">
        <f>Roster!C285</f>
        <v>0</v>
      </c>
      <c r="C285" s="28" t="str">
        <f>IF(COUNTIFS(Table36103[[#This Row],[Continue Existing]:[Start New]], "TRUE")=0, "YES", "NO")</f>
        <v>YES</v>
      </c>
      <c r="D285" s="28" t="b">
        <f>COUNTIFS(Table36103[[#This Row],[Screening Results: Drug &amp; Alcohol Assessment 1]:[Other Reason 9]], "Continue with existing treatment services")&gt;0</f>
        <v>0</v>
      </c>
      <c r="E285" s="28" t="b">
        <f>COUNTIFS(Table36103[[#This Row],[Screening Results: Drug &amp; Alcohol Assessment 1]:[Other Reason 9]], "Start new service")&gt;0</f>
        <v>0</v>
      </c>
      <c r="F285" s="55"/>
      <c r="G285" s="56"/>
      <c r="H285" s="57"/>
      <c r="I285" s="57"/>
      <c r="J285" s="57"/>
      <c r="K285" s="57"/>
      <c r="L285" s="57"/>
      <c r="M285" s="57"/>
      <c r="N285" s="45"/>
      <c r="O285" s="58"/>
      <c r="P285" s="56"/>
      <c r="Q285" s="57"/>
      <c r="R285" s="57"/>
      <c r="S285" s="57"/>
      <c r="T285" s="57"/>
      <c r="U285" s="57"/>
      <c r="V285" s="57"/>
      <c r="W285" s="45"/>
      <c r="X285" s="71"/>
      <c r="Y285" s="57"/>
      <c r="Z285" s="57"/>
      <c r="AA285" s="57"/>
      <c r="AB285" s="57"/>
      <c r="AC285" s="57"/>
      <c r="AD285" s="57"/>
      <c r="AE285" s="57"/>
      <c r="AF285" s="57"/>
      <c r="AG285" s="71"/>
      <c r="AH285" s="57"/>
      <c r="AI285" s="57"/>
      <c r="AJ285" s="57"/>
      <c r="AK285" s="57"/>
      <c r="AL285" s="57"/>
      <c r="AM285" s="57"/>
      <c r="AN285" s="57"/>
      <c r="AO285" s="57"/>
      <c r="AP285" s="71"/>
      <c r="AQ285" s="57"/>
      <c r="AR285" s="57"/>
      <c r="AS285" s="57"/>
      <c r="AT285" s="57"/>
      <c r="AU285" s="57"/>
      <c r="AV285" s="57"/>
      <c r="AW285" s="57"/>
      <c r="AX285" s="57"/>
      <c r="AY285" s="71"/>
      <c r="AZ285" s="57"/>
      <c r="BA285" s="55"/>
      <c r="BB285" s="55"/>
      <c r="BC285" s="55"/>
      <c r="BD285" s="55"/>
      <c r="BE285" s="55"/>
      <c r="BF285" s="55"/>
      <c r="BG285" s="57"/>
      <c r="BH285" s="65"/>
      <c r="BI285" s="55"/>
      <c r="BJ285" s="55"/>
      <c r="BK285" s="55"/>
      <c r="BL285" s="55"/>
      <c r="BM285" s="55"/>
      <c r="BN285" s="55"/>
      <c r="BO285" s="55"/>
      <c r="BP285" s="55"/>
      <c r="BQ285" s="65"/>
      <c r="BR285" s="55"/>
      <c r="BS285" s="55"/>
      <c r="BT285" s="55"/>
      <c r="BU285" s="55"/>
      <c r="BV285" s="55"/>
      <c r="BW285" s="55"/>
      <c r="BX285" s="55"/>
      <c r="BY285" s="55"/>
      <c r="BZ285" s="65"/>
      <c r="CA285" s="55"/>
      <c r="CB285" s="55"/>
      <c r="CC285" s="55"/>
      <c r="CD285" s="55"/>
      <c r="CE285" s="55"/>
      <c r="CF285" s="55"/>
      <c r="CG285" s="55"/>
      <c r="CH285" s="55"/>
      <c r="CI285" s="55"/>
    </row>
    <row r="286" spans="1:87">
      <c r="A286" s="12" t="str">
        <f>Roster!A286</f>
        <v/>
      </c>
      <c r="B286" s="28">
        <f>Roster!C286</f>
        <v>0</v>
      </c>
      <c r="C286" s="28" t="str">
        <f>IF(COUNTIFS(Table36103[[#This Row],[Continue Existing]:[Start New]], "TRUE")=0, "YES", "NO")</f>
        <v>YES</v>
      </c>
      <c r="D286" s="28" t="b">
        <f>COUNTIFS(Table36103[[#This Row],[Screening Results: Drug &amp; Alcohol Assessment 1]:[Other Reason 9]], "Continue with existing treatment services")&gt;0</f>
        <v>0</v>
      </c>
      <c r="E286" s="28" t="b">
        <f>COUNTIFS(Table36103[[#This Row],[Screening Results: Drug &amp; Alcohol Assessment 1]:[Other Reason 9]], "Start new service")&gt;0</f>
        <v>0</v>
      </c>
      <c r="F286" s="55"/>
      <c r="G286" s="56"/>
      <c r="H286" s="57"/>
      <c r="I286" s="57"/>
      <c r="J286" s="57"/>
      <c r="K286" s="57"/>
      <c r="L286" s="57"/>
      <c r="M286" s="57"/>
      <c r="N286" s="45"/>
      <c r="O286" s="58"/>
      <c r="P286" s="56"/>
      <c r="Q286" s="57"/>
      <c r="R286" s="57"/>
      <c r="S286" s="57"/>
      <c r="T286" s="57"/>
      <c r="U286" s="57"/>
      <c r="V286" s="57"/>
      <c r="W286" s="45"/>
      <c r="X286" s="71"/>
      <c r="Y286" s="57"/>
      <c r="Z286" s="57"/>
      <c r="AA286" s="57"/>
      <c r="AB286" s="57"/>
      <c r="AC286" s="57"/>
      <c r="AD286" s="57"/>
      <c r="AE286" s="57"/>
      <c r="AF286" s="57"/>
      <c r="AG286" s="71"/>
      <c r="AH286" s="57"/>
      <c r="AI286" s="57"/>
      <c r="AJ286" s="57"/>
      <c r="AK286" s="57"/>
      <c r="AL286" s="57"/>
      <c r="AM286" s="57"/>
      <c r="AN286" s="57"/>
      <c r="AO286" s="57"/>
      <c r="AP286" s="71"/>
      <c r="AQ286" s="57"/>
      <c r="AR286" s="57"/>
      <c r="AS286" s="57"/>
      <c r="AT286" s="57"/>
      <c r="AU286" s="57"/>
      <c r="AV286" s="57"/>
      <c r="AW286" s="57"/>
      <c r="AX286" s="57"/>
      <c r="AY286" s="71"/>
      <c r="AZ286" s="57"/>
      <c r="BA286" s="55"/>
      <c r="BB286" s="55"/>
      <c r="BC286" s="55"/>
      <c r="BD286" s="55"/>
      <c r="BE286" s="55"/>
      <c r="BF286" s="55"/>
      <c r="BG286" s="57"/>
      <c r="BH286" s="65"/>
      <c r="BI286" s="55"/>
      <c r="BJ286" s="55"/>
      <c r="BK286" s="55"/>
      <c r="BL286" s="55"/>
      <c r="BM286" s="55"/>
      <c r="BN286" s="55"/>
      <c r="BO286" s="55"/>
      <c r="BP286" s="55"/>
      <c r="BQ286" s="65"/>
      <c r="BR286" s="55"/>
      <c r="BS286" s="55"/>
      <c r="BT286" s="55"/>
      <c r="BU286" s="55"/>
      <c r="BV286" s="55"/>
      <c r="BW286" s="55"/>
      <c r="BX286" s="55"/>
      <c r="BY286" s="55"/>
      <c r="BZ286" s="65"/>
      <c r="CA286" s="55"/>
      <c r="CB286" s="55"/>
      <c r="CC286" s="55"/>
      <c r="CD286" s="55"/>
      <c r="CE286" s="55"/>
      <c r="CF286" s="55"/>
      <c r="CG286" s="55"/>
      <c r="CH286" s="55"/>
      <c r="CI286" s="55"/>
    </row>
    <row r="287" spans="1:87">
      <c r="A287" s="12" t="str">
        <f>Roster!A287</f>
        <v/>
      </c>
      <c r="B287" s="28">
        <f>Roster!C287</f>
        <v>0</v>
      </c>
      <c r="C287" s="28" t="str">
        <f>IF(COUNTIFS(Table36103[[#This Row],[Continue Existing]:[Start New]], "TRUE")=0, "YES", "NO")</f>
        <v>YES</v>
      </c>
      <c r="D287" s="28" t="b">
        <f>COUNTIFS(Table36103[[#This Row],[Screening Results: Drug &amp; Alcohol Assessment 1]:[Other Reason 9]], "Continue with existing treatment services")&gt;0</f>
        <v>0</v>
      </c>
      <c r="E287" s="28" t="b">
        <f>COUNTIFS(Table36103[[#This Row],[Screening Results: Drug &amp; Alcohol Assessment 1]:[Other Reason 9]], "Start new service")&gt;0</f>
        <v>0</v>
      </c>
      <c r="F287" s="55"/>
      <c r="G287" s="56"/>
      <c r="H287" s="57"/>
      <c r="I287" s="57"/>
      <c r="J287" s="57"/>
      <c r="K287" s="57"/>
      <c r="L287" s="57"/>
      <c r="M287" s="57"/>
      <c r="N287" s="45"/>
      <c r="O287" s="58"/>
      <c r="P287" s="56"/>
      <c r="Q287" s="57"/>
      <c r="R287" s="57"/>
      <c r="S287" s="57"/>
      <c r="T287" s="57"/>
      <c r="U287" s="57"/>
      <c r="V287" s="57"/>
      <c r="W287" s="45"/>
      <c r="X287" s="71"/>
      <c r="Y287" s="57"/>
      <c r="Z287" s="57"/>
      <c r="AA287" s="57"/>
      <c r="AB287" s="57"/>
      <c r="AC287" s="57"/>
      <c r="AD287" s="57"/>
      <c r="AE287" s="57"/>
      <c r="AF287" s="57"/>
      <c r="AG287" s="71"/>
      <c r="AH287" s="57"/>
      <c r="AI287" s="57"/>
      <c r="AJ287" s="57"/>
      <c r="AK287" s="57"/>
      <c r="AL287" s="57"/>
      <c r="AM287" s="57"/>
      <c r="AN287" s="57"/>
      <c r="AO287" s="57"/>
      <c r="AP287" s="71"/>
      <c r="AQ287" s="57"/>
      <c r="AR287" s="57"/>
      <c r="AS287" s="57"/>
      <c r="AT287" s="57"/>
      <c r="AU287" s="57"/>
      <c r="AV287" s="57"/>
      <c r="AW287" s="57"/>
      <c r="AX287" s="57"/>
      <c r="AY287" s="71"/>
      <c r="AZ287" s="57"/>
      <c r="BA287" s="55"/>
      <c r="BB287" s="55"/>
      <c r="BC287" s="55"/>
      <c r="BD287" s="55"/>
      <c r="BE287" s="55"/>
      <c r="BF287" s="55"/>
      <c r="BG287" s="57"/>
      <c r="BH287" s="65"/>
      <c r="BI287" s="55"/>
      <c r="BJ287" s="55"/>
      <c r="BK287" s="55"/>
      <c r="BL287" s="55"/>
      <c r="BM287" s="55"/>
      <c r="BN287" s="55"/>
      <c r="BO287" s="55"/>
      <c r="BP287" s="55"/>
      <c r="BQ287" s="65"/>
      <c r="BR287" s="55"/>
      <c r="BS287" s="55"/>
      <c r="BT287" s="55"/>
      <c r="BU287" s="55"/>
      <c r="BV287" s="55"/>
      <c r="BW287" s="55"/>
      <c r="BX287" s="55"/>
      <c r="BY287" s="55"/>
      <c r="BZ287" s="65"/>
      <c r="CA287" s="55"/>
      <c r="CB287" s="55"/>
      <c r="CC287" s="55"/>
      <c r="CD287" s="55"/>
      <c r="CE287" s="55"/>
      <c r="CF287" s="55"/>
      <c r="CG287" s="55"/>
      <c r="CH287" s="55"/>
      <c r="CI287" s="55"/>
    </row>
    <row r="288" spans="1:87">
      <c r="A288" s="12" t="str">
        <f>Roster!A288</f>
        <v/>
      </c>
      <c r="B288" s="28">
        <f>Roster!C288</f>
        <v>0</v>
      </c>
      <c r="C288" s="28" t="str">
        <f>IF(COUNTIFS(Table36103[[#This Row],[Continue Existing]:[Start New]], "TRUE")=0, "YES", "NO")</f>
        <v>YES</v>
      </c>
      <c r="D288" s="28" t="b">
        <f>COUNTIFS(Table36103[[#This Row],[Screening Results: Drug &amp; Alcohol Assessment 1]:[Other Reason 9]], "Continue with existing treatment services")&gt;0</f>
        <v>0</v>
      </c>
      <c r="E288" s="28" t="b">
        <f>COUNTIFS(Table36103[[#This Row],[Screening Results: Drug &amp; Alcohol Assessment 1]:[Other Reason 9]], "Start new service")&gt;0</f>
        <v>0</v>
      </c>
      <c r="F288" s="55"/>
      <c r="G288" s="56"/>
      <c r="H288" s="57"/>
      <c r="I288" s="57"/>
      <c r="J288" s="57"/>
      <c r="K288" s="57"/>
      <c r="L288" s="57"/>
      <c r="M288" s="57"/>
      <c r="N288" s="45"/>
      <c r="O288" s="58"/>
      <c r="P288" s="56"/>
      <c r="Q288" s="57"/>
      <c r="R288" s="57"/>
      <c r="S288" s="57"/>
      <c r="T288" s="57"/>
      <c r="U288" s="57"/>
      <c r="V288" s="57"/>
      <c r="W288" s="45"/>
      <c r="X288" s="71"/>
      <c r="Y288" s="57"/>
      <c r="Z288" s="57"/>
      <c r="AA288" s="57"/>
      <c r="AB288" s="57"/>
      <c r="AC288" s="57"/>
      <c r="AD288" s="57"/>
      <c r="AE288" s="57"/>
      <c r="AF288" s="57"/>
      <c r="AG288" s="71"/>
      <c r="AH288" s="57"/>
      <c r="AI288" s="57"/>
      <c r="AJ288" s="57"/>
      <c r="AK288" s="57"/>
      <c r="AL288" s="57"/>
      <c r="AM288" s="57"/>
      <c r="AN288" s="57"/>
      <c r="AO288" s="57"/>
      <c r="AP288" s="71"/>
      <c r="AQ288" s="57"/>
      <c r="AR288" s="57"/>
      <c r="AS288" s="57"/>
      <c r="AT288" s="57"/>
      <c r="AU288" s="57"/>
      <c r="AV288" s="57"/>
      <c r="AW288" s="57"/>
      <c r="AX288" s="57"/>
      <c r="AY288" s="71"/>
      <c r="AZ288" s="57"/>
      <c r="BA288" s="55"/>
      <c r="BB288" s="55"/>
      <c r="BC288" s="55"/>
      <c r="BD288" s="55"/>
      <c r="BE288" s="55"/>
      <c r="BF288" s="55"/>
      <c r="BG288" s="57"/>
      <c r="BH288" s="65"/>
      <c r="BI288" s="55"/>
      <c r="BJ288" s="55"/>
      <c r="BK288" s="55"/>
      <c r="BL288" s="55"/>
      <c r="BM288" s="55"/>
      <c r="BN288" s="55"/>
      <c r="BO288" s="55"/>
      <c r="BP288" s="55"/>
      <c r="BQ288" s="65"/>
      <c r="BR288" s="55"/>
      <c r="BS288" s="55"/>
      <c r="BT288" s="55"/>
      <c r="BU288" s="55"/>
      <c r="BV288" s="55"/>
      <c r="BW288" s="55"/>
      <c r="BX288" s="55"/>
      <c r="BY288" s="55"/>
      <c r="BZ288" s="65"/>
      <c r="CA288" s="55"/>
      <c r="CB288" s="55"/>
      <c r="CC288" s="55"/>
      <c r="CD288" s="55"/>
      <c r="CE288" s="55"/>
      <c r="CF288" s="55"/>
      <c r="CG288" s="55"/>
      <c r="CH288" s="55"/>
      <c r="CI288" s="55"/>
    </row>
    <row r="289" spans="1:87">
      <c r="A289" s="12" t="str">
        <f>Roster!A289</f>
        <v/>
      </c>
      <c r="B289" s="28">
        <f>Roster!C289</f>
        <v>0</v>
      </c>
      <c r="C289" s="28" t="str">
        <f>IF(COUNTIFS(Table36103[[#This Row],[Continue Existing]:[Start New]], "TRUE")=0, "YES", "NO")</f>
        <v>YES</v>
      </c>
      <c r="D289" s="28" t="b">
        <f>COUNTIFS(Table36103[[#This Row],[Screening Results: Drug &amp; Alcohol Assessment 1]:[Other Reason 9]], "Continue with existing treatment services")&gt;0</f>
        <v>0</v>
      </c>
      <c r="E289" s="28" t="b">
        <f>COUNTIFS(Table36103[[#This Row],[Screening Results: Drug &amp; Alcohol Assessment 1]:[Other Reason 9]], "Start new service")&gt;0</f>
        <v>0</v>
      </c>
      <c r="F289" s="55"/>
      <c r="G289" s="56"/>
      <c r="H289" s="57"/>
      <c r="I289" s="57"/>
      <c r="J289" s="57"/>
      <c r="K289" s="57"/>
      <c r="L289" s="57"/>
      <c r="M289" s="57"/>
      <c r="N289" s="45"/>
      <c r="O289" s="58"/>
      <c r="P289" s="56"/>
      <c r="Q289" s="57"/>
      <c r="R289" s="57"/>
      <c r="S289" s="57"/>
      <c r="T289" s="57"/>
      <c r="U289" s="57"/>
      <c r="V289" s="57"/>
      <c r="W289" s="45"/>
      <c r="X289" s="71"/>
      <c r="Y289" s="57"/>
      <c r="Z289" s="57"/>
      <c r="AA289" s="57"/>
      <c r="AB289" s="57"/>
      <c r="AC289" s="57"/>
      <c r="AD289" s="57"/>
      <c r="AE289" s="57"/>
      <c r="AF289" s="57"/>
      <c r="AG289" s="71"/>
      <c r="AH289" s="57"/>
      <c r="AI289" s="57"/>
      <c r="AJ289" s="57"/>
      <c r="AK289" s="57"/>
      <c r="AL289" s="57"/>
      <c r="AM289" s="57"/>
      <c r="AN289" s="57"/>
      <c r="AO289" s="57"/>
      <c r="AP289" s="71"/>
      <c r="AQ289" s="57"/>
      <c r="AR289" s="57"/>
      <c r="AS289" s="57"/>
      <c r="AT289" s="57"/>
      <c r="AU289" s="57"/>
      <c r="AV289" s="57"/>
      <c r="AW289" s="57"/>
      <c r="AX289" s="57"/>
      <c r="AY289" s="71"/>
      <c r="AZ289" s="57"/>
      <c r="BA289" s="55"/>
      <c r="BB289" s="55"/>
      <c r="BC289" s="55"/>
      <c r="BD289" s="55"/>
      <c r="BE289" s="55"/>
      <c r="BF289" s="55"/>
      <c r="BG289" s="57"/>
      <c r="BH289" s="65"/>
      <c r="BI289" s="55"/>
      <c r="BJ289" s="55"/>
      <c r="BK289" s="55"/>
      <c r="BL289" s="55"/>
      <c r="BM289" s="55"/>
      <c r="BN289" s="55"/>
      <c r="BO289" s="55"/>
      <c r="BP289" s="55"/>
      <c r="BQ289" s="65"/>
      <c r="BR289" s="55"/>
      <c r="BS289" s="55"/>
      <c r="BT289" s="55"/>
      <c r="BU289" s="55"/>
      <c r="BV289" s="55"/>
      <c r="BW289" s="55"/>
      <c r="BX289" s="55"/>
      <c r="BY289" s="55"/>
      <c r="BZ289" s="65"/>
      <c r="CA289" s="55"/>
      <c r="CB289" s="55"/>
      <c r="CC289" s="55"/>
      <c r="CD289" s="55"/>
      <c r="CE289" s="55"/>
      <c r="CF289" s="55"/>
      <c r="CG289" s="55"/>
      <c r="CH289" s="55"/>
      <c r="CI289" s="55"/>
    </row>
    <row r="290" spans="1:87">
      <c r="A290" s="12" t="str">
        <f>Roster!A290</f>
        <v/>
      </c>
      <c r="B290" s="28">
        <f>Roster!C290</f>
        <v>0</v>
      </c>
      <c r="C290" s="28" t="str">
        <f>IF(COUNTIFS(Table36103[[#This Row],[Continue Existing]:[Start New]], "TRUE")=0, "YES", "NO")</f>
        <v>YES</v>
      </c>
      <c r="D290" s="28" t="b">
        <f>COUNTIFS(Table36103[[#This Row],[Screening Results: Drug &amp; Alcohol Assessment 1]:[Other Reason 9]], "Continue with existing treatment services")&gt;0</f>
        <v>0</v>
      </c>
      <c r="E290" s="28" t="b">
        <f>COUNTIFS(Table36103[[#This Row],[Screening Results: Drug &amp; Alcohol Assessment 1]:[Other Reason 9]], "Start new service")&gt;0</f>
        <v>0</v>
      </c>
      <c r="F290" s="55"/>
      <c r="G290" s="56"/>
      <c r="H290" s="57"/>
      <c r="I290" s="57"/>
      <c r="J290" s="57"/>
      <c r="K290" s="57"/>
      <c r="L290" s="57"/>
      <c r="M290" s="57"/>
      <c r="N290" s="45"/>
      <c r="O290" s="58"/>
      <c r="P290" s="56"/>
      <c r="Q290" s="57"/>
      <c r="R290" s="57"/>
      <c r="S290" s="57"/>
      <c r="T290" s="57"/>
      <c r="U290" s="57"/>
      <c r="V290" s="57"/>
      <c r="W290" s="45"/>
      <c r="X290" s="71"/>
      <c r="Y290" s="57"/>
      <c r="Z290" s="57"/>
      <c r="AA290" s="57"/>
      <c r="AB290" s="57"/>
      <c r="AC290" s="57"/>
      <c r="AD290" s="57"/>
      <c r="AE290" s="57"/>
      <c r="AF290" s="57"/>
      <c r="AG290" s="71"/>
      <c r="AH290" s="57"/>
      <c r="AI290" s="57"/>
      <c r="AJ290" s="57"/>
      <c r="AK290" s="57"/>
      <c r="AL290" s="57"/>
      <c r="AM290" s="57"/>
      <c r="AN290" s="57"/>
      <c r="AO290" s="57"/>
      <c r="AP290" s="71"/>
      <c r="AQ290" s="57"/>
      <c r="AR290" s="57"/>
      <c r="AS290" s="57"/>
      <c r="AT290" s="57"/>
      <c r="AU290" s="57"/>
      <c r="AV290" s="57"/>
      <c r="AW290" s="57"/>
      <c r="AX290" s="57"/>
      <c r="AY290" s="71"/>
      <c r="AZ290" s="57"/>
      <c r="BA290" s="55"/>
      <c r="BB290" s="55"/>
      <c r="BC290" s="55"/>
      <c r="BD290" s="55"/>
      <c r="BE290" s="55"/>
      <c r="BF290" s="55"/>
      <c r="BG290" s="57"/>
      <c r="BH290" s="65"/>
      <c r="BI290" s="55"/>
      <c r="BJ290" s="55"/>
      <c r="BK290" s="55"/>
      <c r="BL290" s="55"/>
      <c r="BM290" s="55"/>
      <c r="BN290" s="55"/>
      <c r="BO290" s="55"/>
      <c r="BP290" s="55"/>
      <c r="BQ290" s="65"/>
      <c r="BR290" s="55"/>
      <c r="BS290" s="55"/>
      <c r="BT290" s="55"/>
      <c r="BU290" s="55"/>
      <c r="BV290" s="55"/>
      <c r="BW290" s="55"/>
      <c r="BX290" s="55"/>
      <c r="BY290" s="55"/>
      <c r="BZ290" s="65"/>
      <c r="CA290" s="55"/>
      <c r="CB290" s="55"/>
      <c r="CC290" s="55"/>
      <c r="CD290" s="55"/>
      <c r="CE290" s="55"/>
      <c r="CF290" s="55"/>
      <c r="CG290" s="55"/>
      <c r="CH290" s="55"/>
      <c r="CI290" s="55"/>
    </row>
    <row r="291" spans="1:87">
      <c r="A291" s="12" t="str">
        <f>Roster!A291</f>
        <v/>
      </c>
      <c r="B291" s="28">
        <f>Roster!C291</f>
        <v>0</v>
      </c>
      <c r="C291" s="28" t="str">
        <f>IF(COUNTIFS(Table36103[[#This Row],[Continue Existing]:[Start New]], "TRUE")=0, "YES", "NO")</f>
        <v>YES</v>
      </c>
      <c r="D291" s="28" t="b">
        <f>COUNTIFS(Table36103[[#This Row],[Screening Results: Drug &amp; Alcohol Assessment 1]:[Other Reason 9]], "Continue with existing treatment services")&gt;0</f>
        <v>0</v>
      </c>
      <c r="E291" s="28" t="b">
        <f>COUNTIFS(Table36103[[#This Row],[Screening Results: Drug &amp; Alcohol Assessment 1]:[Other Reason 9]], "Start new service")&gt;0</f>
        <v>0</v>
      </c>
      <c r="F291" s="55"/>
      <c r="G291" s="56"/>
      <c r="H291" s="57"/>
      <c r="I291" s="57"/>
      <c r="J291" s="57"/>
      <c r="K291" s="57"/>
      <c r="L291" s="57"/>
      <c r="M291" s="57"/>
      <c r="N291" s="45"/>
      <c r="O291" s="58"/>
      <c r="P291" s="56"/>
      <c r="Q291" s="57"/>
      <c r="R291" s="57"/>
      <c r="S291" s="57"/>
      <c r="T291" s="57"/>
      <c r="U291" s="57"/>
      <c r="V291" s="57"/>
      <c r="W291" s="45"/>
      <c r="X291" s="71"/>
      <c r="Y291" s="57"/>
      <c r="Z291" s="57"/>
      <c r="AA291" s="57"/>
      <c r="AB291" s="57"/>
      <c r="AC291" s="57"/>
      <c r="AD291" s="57"/>
      <c r="AE291" s="57"/>
      <c r="AF291" s="57"/>
      <c r="AG291" s="71"/>
      <c r="AH291" s="57"/>
      <c r="AI291" s="57"/>
      <c r="AJ291" s="57"/>
      <c r="AK291" s="57"/>
      <c r="AL291" s="57"/>
      <c r="AM291" s="57"/>
      <c r="AN291" s="57"/>
      <c r="AO291" s="57"/>
      <c r="AP291" s="71"/>
      <c r="AQ291" s="57"/>
      <c r="AR291" s="57"/>
      <c r="AS291" s="57"/>
      <c r="AT291" s="57"/>
      <c r="AU291" s="57"/>
      <c r="AV291" s="57"/>
      <c r="AW291" s="57"/>
      <c r="AX291" s="57"/>
      <c r="AY291" s="71"/>
      <c r="AZ291" s="57"/>
      <c r="BA291" s="55"/>
      <c r="BB291" s="55"/>
      <c r="BC291" s="55"/>
      <c r="BD291" s="55"/>
      <c r="BE291" s="55"/>
      <c r="BF291" s="55"/>
      <c r="BG291" s="57"/>
      <c r="BH291" s="65"/>
      <c r="BI291" s="55"/>
      <c r="BJ291" s="55"/>
      <c r="BK291" s="55"/>
      <c r="BL291" s="55"/>
      <c r="BM291" s="55"/>
      <c r="BN291" s="55"/>
      <c r="BO291" s="55"/>
      <c r="BP291" s="55"/>
      <c r="BQ291" s="65"/>
      <c r="BR291" s="55"/>
      <c r="BS291" s="55"/>
      <c r="BT291" s="55"/>
      <c r="BU291" s="55"/>
      <c r="BV291" s="55"/>
      <c r="BW291" s="55"/>
      <c r="BX291" s="55"/>
      <c r="BY291" s="55"/>
      <c r="BZ291" s="65"/>
      <c r="CA291" s="55"/>
      <c r="CB291" s="55"/>
      <c r="CC291" s="55"/>
      <c r="CD291" s="55"/>
      <c r="CE291" s="55"/>
      <c r="CF291" s="55"/>
      <c r="CG291" s="55"/>
      <c r="CH291" s="55"/>
      <c r="CI291" s="55"/>
    </row>
    <row r="292" spans="1:87">
      <c r="A292" s="12" t="str">
        <f>Roster!A292</f>
        <v/>
      </c>
      <c r="B292" s="28">
        <f>Roster!C292</f>
        <v>0</v>
      </c>
      <c r="C292" s="28" t="str">
        <f>IF(COUNTIFS(Table36103[[#This Row],[Continue Existing]:[Start New]], "TRUE")=0, "YES", "NO")</f>
        <v>YES</v>
      </c>
      <c r="D292" s="28" t="b">
        <f>COUNTIFS(Table36103[[#This Row],[Screening Results: Drug &amp; Alcohol Assessment 1]:[Other Reason 9]], "Continue with existing treatment services")&gt;0</f>
        <v>0</v>
      </c>
      <c r="E292" s="28" t="b">
        <f>COUNTIFS(Table36103[[#This Row],[Screening Results: Drug &amp; Alcohol Assessment 1]:[Other Reason 9]], "Start new service")&gt;0</f>
        <v>0</v>
      </c>
      <c r="F292" s="55"/>
      <c r="G292" s="56"/>
      <c r="H292" s="57"/>
      <c r="I292" s="57"/>
      <c r="J292" s="57"/>
      <c r="K292" s="57"/>
      <c r="L292" s="57"/>
      <c r="M292" s="57"/>
      <c r="N292" s="45"/>
      <c r="O292" s="58"/>
      <c r="P292" s="56"/>
      <c r="Q292" s="57"/>
      <c r="R292" s="57"/>
      <c r="S292" s="57"/>
      <c r="T292" s="57"/>
      <c r="U292" s="57"/>
      <c r="V292" s="57"/>
      <c r="W292" s="45"/>
      <c r="X292" s="71"/>
      <c r="Y292" s="57"/>
      <c r="Z292" s="57"/>
      <c r="AA292" s="57"/>
      <c r="AB292" s="57"/>
      <c r="AC292" s="57"/>
      <c r="AD292" s="57"/>
      <c r="AE292" s="57"/>
      <c r="AF292" s="57"/>
      <c r="AG292" s="71"/>
      <c r="AH292" s="57"/>
      <c r="AI292" s="57"/>
      <c r="AJ292" s="57"/>
      <c r="AK292" s="57"/>
      <c r="AL292" s="57"/>
      <c r="AM292" s="57"/>
      <c r="AN292" s="57"/>
      <c r="AO292" s="57"/>
      <c r="AP292" s="71"/>
      <c r="AQ292" s="57"/>
      <c r="AR292" s="57"/>
      <c r="AS292" s="57"/>
      <c r="AT292" s="57"/>
      <c r="AU292" s="57"/>
      <c r="AV292" s="57"/>
      <c r="AW292" s="57"/>
      <c r="AX292" s="57"/>
      <c r="AY292" s="71"/>
      <c r="AZ292" s="57"/>
      <c r="BA292" s="55"/>
      <c r="BB292" s="55"/>
      <c r="BC292" s="55"/>
      <c r="BD292" s="55"/>
      <c r="BE292" s="55"/>
      <c r="BF292" s="55"/>
      <c r="BG292" s="57"/>
      <c r="BH292" s="65"/>
      <c r="BI292" s="55"/>
      <c r="BJ292" s="55"/>
      <c r="BK292" s="55"/>
      <c r="BL292" s="55"/>
      <c r="BM292" s="55"/>
      <c r="BN292" s="55"/>
      <c r="BO292" s="55"/>
      <c r="BP292" s="55"/>
      <c r="BQ292" s="65"/>
      <c r="BR292" s="55"/>
      <c r="BS292" s="55"/>
      <c r="BT292" s="55"/>
      <c r="BU292" s="55"/>
      <c r="BV292" s="55"/>
      <c r="BW292" s="55"/>
      <c r="BX292" s="55"/>
      <c r="BY292" s="55"/>
      <c r="BZ292" s="65"/>
      <c r="CA292" s="55"/>
      <c r="CB292" s="55"/>
      <c r="CC292" s="55"/>
      <c r="CD292" s="55"/>
      <c r="CE292" s="55"/>
      <c r="CF292" s="55"/>
      <c r="CG292" s="55"/>
      <c r="CH292" s="55"/>
      <c r="CI292" s="55"/>
    </row>
    <row r="293" spans="1:87">
      <c r="A293" s="12" t="str">
        <f>Roster!A293</f>
        <v/>
      </c>
      <c r="B293" s="28">
        <f>Roster!C293</f>
        <v>0</v>
      </c>
      <c r="C293" s="28" t="str">
        <f>IF(COUNTIFS(Table36103[[#This Row],[Continue Existing]:[Start New]], "TRUE")=0, "YES", "NO")</f>
        <v>YES</v>
      </c>
      <c r="D293" s="28" t="b">
        <f>COUNTIFS(Table36103[[#This Row],[Screening Results: Drug &amp; Alcohol Assessment 1]:[Other Reason 9]], "Continue with existing treatment services")&gt;0</f>
        <v>0</v>
      </c>
      <c r="E293" s="28" t="b">
        <f>COUNTIFS(Table36103[[#This Row],[Screening Results: Drug &amp; Alcohol Assessment 1]:[Other Reason 9]], "Start new service")&gt;0</f>
        <v>0</v>
      </c>
      <c r="F293" s="55"/>
      <c r="G293" s="56"/>
      <c r="H293" s="57"/>
      <c r="I293" s="57"/>
      <c r="J293" s="57"/>
      <c r="K293" s="57"/>
      <c r="L293" s="57"/>
      <c r="M293" s="57"/>
      <c r="N293" s="45"/>
      <c r="O293" s="58"/>
      <c r="P293" s="56"/>
      <c r="Q293" s="57"/>
      <c r="R293" s="57"/>
      <c r="S293" s="57"/>
      <c r="T293" s="57"/>
      <c r="U293" s="57"/>
      <c r="V293" s="57"/>
      <c r="W293" s="45"/>
      <c r="X293" s="71"/>
      <c r="Y293" s="57"/>
      <c r="Z293" s="57"/>
      <c r="AA293" s="57"/>
      <c r="AB293" s="57"/>
      <c r="AC293" s="57"/>
      <c r="AD293" s="57"/>
      <c r="AE293" s="57"/>
      <c r="AF293" s="57"/>
      <c r="AG293" s="71"/>
      <c r="AH293" s="57"/>
      <c r="AI293" s="57"/>
      <c r="AJ293" s="57"/>
      <c r="AK293" s="57"/>
      <c r="AL293" s="57"/>
      <c r="AM293" s="57"/>
      <c r="AN293" s="57"/>
      <c r="AO293" s="57"/>
      <c r="AP293" s="71"/>
      <c r="AQ293" s="57"/>
      <c r="AR293" s="57"/>
      <c r="AS293" s="57"/>
      <c r="AT293" s="57"/>
      <c r="AU293" s="57"/>
      <c r="AV293" s="57"/>
      <c r="AW293" s="57"/>
      <c r="AX293" s="57"/>
      <c r="AY293" s="71"/>
      <c r="AZ293" s="57"/>
      <c r="BA293" s="55"/>
      <c r="BB293" s="55"/>
      <c r="BC293" s="55"/>
      <c r="BD293" s="55"/>
      <c r="BE293" s="55"/>
      <c r="BF293" s="55"/>
      <c r="BG293" s="57"/>
      <c r="BH293" s="65"/>
      <c r="BI293" s="55"/>
      <c r="BJ293" s="55"/>
      <c r="BK293" s="55"/>
      <c r="BL293" s="55"/>
      <c r="BM293" s="55"/>
      <c r="BN293" s="55"/>
      <c r="BO293" s="55"/>
      <c r="BP293" s="55"/>
      <c r="BQ293" s="65"/>
      <c r="BR293" s="55"/>
      <c r="BS293" s="55"/>
      <c r="BT293" s="55"/>
      <c r="BU293" s="55"/>
      <c r="BV293" s="55"/>
      <c r="BW293" s="55"/>
      <c r="BX293" s="55"/>
      <c r="BY293" s="55"/>
      <c r="BZ293" s="65"/>
      <c r="CA293" s="55"/>
      <c r="CB293" s="55"/>
      <c r="CC293" s="55"/>
      <c r="CD293" s="55"/>
      <c r="CE293" s="55"/>
      <c r="CF293" s="55"/>
      <c r="CG293" s="55"/>
      <c r="CH293" s="55"/>
      <c r="CI293" s="55"/>
    </row>
    <row r="294" spans="1:87">
      <c r="A294" s="12" t="str">
        <f>Roster!A294</f>
        <v/>
      </c>
      <c r="B294" s="28">
        <f>Roster!C294</f>
        <v>0</v>
      </c>
      <c r="C294" s="28" t="str">
        <f>IF(COUNTIFS(Table36103[[#This Row],[Continue Existing]:[Start New]], "TRUE")=0, "YES", "NO")</f>
        <v>YES</v>
      </c>
      <c r="D294" s="28" t="b">
        <f>COUNTIFS(Table36103[[#This Row],[Screening Results: Drug &amp; Alcohol Assessment 1]:[Other Reason 9]], "Continue with existing treatment services")&gt;0</f>
        <v>0</v>
      </c>
      <c r="E294" s="28" t="b">
        <f>COUNTIFS(Table36103[[#This Row],[Screening Results: Drug &amp; Alcohol Assessment 1]:[Other Reason 9]], "Start new service")&gt;0</f>
        <v>0</v>
      </c>
      <c r="F294" s="55"/>
      <c r="G294" s="56"/>
      <c r="H294" s="57"/>
      <c r="I294" s="57"/>
      <c r="J294" s="57"/>
      <c r="K294" s="57"/>
      <c r="L294" s="57"/>
      <c r="M294" s="57"/>
      <c r="N294" s="45"/>
      <c r="O294" s="58"/>
      <c r="P294" s="56"/>
      <c r="Q294" s="57"/>
      <c r="R294" s="57"/>
      <c r="S294" s="57"/>
      <c r="T294" s="57"/>
      <c r="U294" s="57"/>
      <c r="V294" s="57"/>
      <c r="W294" s="45"/>
      <c r="X294" s="71"/>
      <c r="Y294" s="57"/>
      <c r="Z294" s="57"/>
      <c r="AA294" s="57"/>
      <c r="AB294" s="57"/>
      <c r="AC294" s="57"/>
      <c r="AD294" s="57"/>
      <c r="AE294" s="57"/>
      <c r="AF294" s="57"/>
      <c r="AG294" s="71"/>
      <c r="AH294" s="57"/>
      <c r="AI294" s="57"/>
      <c r="AJ294" s="57"/>
      <c r="AK294" s="57"/>
      <c r="AL294" s="57"/>
      <c r="AM294" s="57"/>
      <c r="AN294" s="57"/>
      <c r="AO294" s="57"/>
      <c r="AP294" s="71"/>
      <c r="AQ294" s="57"/>
      <c r="AR294" s="57"/>
      <c r="AS294" s="57"/>
      <c r="AT294" s="57"/>
      <c r="AU294" s="57"/>
      <c r="AV294" s="57"/>
      <c r="AW294" s="57"/>
      <c r="AX294" s="57"/>
      <c r="AY294" s="71"/>
      <c r="AZ294" s="57"/>
      <c r="BA294" s="55"/>
      <c r="BB294" s="55"/>
      <c r="BC294" s="55"/>
      <c r="BD294" s="55"/>
      <c r="BE294" s="55"/>
      <c r="BF294" s="55"/>
      <c r="BG294" s="57"/>
      <c r="BH294" s="65"/>
      <c r="BI294" s="55"/>
      <c r="BJ294" s="55"/>
      <c r="BK294" s="55"/>
      <c r="BL294" s="55"/>
      <c r="BM294" s="55"/>
      <c r="BN294" s="55"/>
      <c r="BO294" s="55"/>
      <c r="BP294" s="55"/>
      <c r="BQ294" s="65"/>
      <c r="BR294" s="55"/>
      <c r="BS294" s="55"/>
      <c r="BT294" s="55"/>
      <c r="BU294" s="55"/>
      <c r="BV294" s="55"/>
      <c r="BW294" s="55"/>
      <c r="BX294" s="55"/>
      <c r="BY294" s="55"/>
      <c r="BZ294" s="65"/>
      <c r="CA294" s="55"/>
      <c r="CB294" s="55"/>
      <c r="CC294" s="55"/>
      <c r="CD294" s="55"/>
      <c r="CE294" s="55"/>
      <c r="CF294" s="55"/>
      <c r="CG294" s="55"/>
      <c r="CH294" s="55"/>
      <c r="CI294" s="55"/>
    </row>
    <row r="295" spans="1:87">
      <c r="A295" s="12" t="str">
        <f>Roster!A295</f>
        <v/>
      </c>
      <c r="B295" s="28">
        <f>Roster!C295</f>
        <v>0</v>
      </c>
      <c r="C295" s="28" t="str">
        <f>IF(COUNTIFS(Table36103[[#This Row],[Continue Existing]:[Start New]], "TRUE")=0, "YES", "NO")</f>
        <v>YES</v>
      </c>
      <c r="D295" s="28" t="b">
        <f>COUNTIFS(Table36103[[#This Row],[Screening Results: Drug &amp; Alcohol Assessment 1]:[Other Reason 9]], "Continue with existing treatment services")&gt;0</f>
        <v>0</v>
      </c>
      <c r="E295" s="28" t="b">
        <f>COUNTIFS(Table36103[[#This Row],[Screening Results: Drug &amp; Alcohol Assessment 1]:[Other Reason 9]], "Start new service")&gt;0</f>
        <v>0</v>
      </c>
      <c r="F295" s="55"/>
      <c r="G295" s="56"/>
      <c r="H295" s="57"/>
      <c r="I295" s="57"/>
      <c r="J295" s="57"/>
      <c r="K295" s="57"/>
      <c r="L295" s="57"/>
      <c r="M295" s="57"/>
      <c r="N295" s="45"/>
      <c r="O295" s="58"/>
      <c r="P295" s="56"/>
      <c r="Q295" s="57"/>
      <c r="R295" s="57"/>
      <c r="S295" s="57"/>
      <c r="T295" s="57"/>
      <c r="U295" s="57"/>
      <c r="V295" s="57"/>
      <c r="W295" s="45"/>
      <c r="X295" s="71"/>
      <c r="Y295" s="57"/>
      <c r="Z295" s="57"/>
      <c r="AA295" s="57"/>
      <c r="AB295" s="57"/>
      <c r="AC295" s="57"/>
      <c r="AD295" s="57"/>
      <c r="AE295" s="57"/>
      <c r="AF295" s="57"/>
      <c r="AG295" s="71"/>
      <c r="AH295" s="57"/>
      <c r="AI295" s="57"/>
      <c r="AJ295" s="57"/>
      <c r="AK295" s="57"/>
      <c r="AL295" s="57"/>
      <c r="AM295" s="57"/>
      <c r="AN295" s="57"/>
      <c r="AO295" s="57"/>
      <c r="AP295" s="71"/>
      <c r="AQ295" s="57"/>
      <c r="AR295" s="57"/>
      <c r="AS295" s="57"/>
      <c r="AT295" s="57"/>
      <c r="AU295" s="57"/>
      <c r="AV295" s="57"/>
      <c r="AW295" s="57"/>
      <c r="AX295" s="57"/>
      <c r="AY295" s="71"/>
      <c r="AZ295" s="57"/>
      <c r="BA295" s="55"/>
      <c r="BB295" s="55"/>
      <c r="BC295" s="55"/>
      <c r="BD295" s="55"/>
      <c r="BE295" s="55"/>
      <c r="BF295" s="55"/>
      <c r="BG295" s="57"/>
      <c r="BH295" s="65"/>
      <c r="BI295" s="55"/>
      <c r="BJ295" s="55"/>
      <c r="BK295" s="55"/>
      <c r="BL295" s="55"/>
      <c r="BM295" s="55"/>
      <c r="BN295" s="55"/>
      <c r="BO295" s="55"/>
      <c r="BP295" s="55"/>
      <c r="BQ295" s="65"/>
      <c r="BR295" s="55"/>
      <c r="BS295" s="55"/>
      <c r="BT295" s="55"/>
      <c r="BU295" s="55"/>
      <c r="BV295" s="55"/>
      <c r="BW295" s="55"/>
      <c r="BX295" s="55"/>
      <c r="BY295" s="55"/>
      <c r="BZ295" s="65"/>
      <c r="CA295" s="55"/>
      <c r="CB295" s="55"/>
      <c r="CC295" s="55"/>
      <c r="CD295" s="55"/>
      <c r="CE295" s="55"/>
      <c r="CF295" s="55"/>
      <c r="CG295" s="55"/>
      <c r="CH295" s="55"/>
      <c r="CI295" s="55"/>
    </row>
    <row r="296" spans="1:87">
      <c r="A296" s="12" t="str">
        <f>Roster!A296</f>
        <v/>
      </c>
      <c r="B296" s="28">
        <f>Roster!C296</f>
        <v>0</v>
      </c>
      <c r="C296" s="28" t="str">
        <f>IF(COUNTIFS(Table36103[[#This Row],[Continue Existing]:[Start New]], "TRUE")=0, "YES", "NO")</f>
        <v>YES</v>
      </c>
      <c r="D296" s="28" t="b">
        <f>COUNTIFS(Table36103[[#This Row],[Screening Results: Drug &amp; Alcohol Assessment 1]:[Other Reason 9]], "Continue with existing treatment services")&gt;0</f>
        <v>0</v>
      </c>
      <c r="E296" s="28" t="b">
        <f>COUNTIFS(Table36103[[#This Row],[Screening Results: Drug &amp; Alcohol Assessment 1]:[Other Reason 9]], "Start new service")&gt;0</f>
        <v>0</v>
      </c>
      <c r="F296" s="55"/>
      <c r="G296" s="56"/>
      <c r="H296" s="57"/>
      <c r="I296" s="57"/>
      <c r="J296" s="57"/>
      <c r="K296" s="57"/>
      <c r="L296" s="57"/>
      <c r="M296" s="57"/>
      <c r="N296" s="45"/>
      <c r="O296" s="58"/>
      <c r="P296" s="56"/>
      <c r="Q296" s="57"/>
      <c r="R296" s="57"/>
      <c r="S296" s="57"/>
      <c r="T296" s="57"/>
      <c r="U296" s="57"/>
      <c r="V296" s="57"/>
      <c r="W296" s="45"/>
      <c r="X296" s="71"/>
      <c r="Y296" s="57"/>
      <c r="Z296" s="57"/>
      <c r="AA296" s="57"/>
      <c r="AB296" s="57"/>
      <c r="AC296" s="57"/>
      <c r="AD296" s="57"/>
      <c r="AE296" s="57"/>
      <c r="AF296" s="57"/>
      <c r="AG296" s="71"/>
      <c r="AH296" s="57"/>
      <c r="AI296" s="57"/>
      <c r="AJ296" s="57"/>
      <c r="AK296" s="57"/>
      <c r="AL296" s="57"/>
      <c r="AM296" s="57"/>
      <c r="AN296" s="57"/>
      <c r="AO296" s="57"/>
      <c r="AP296" s="71"/>
      <c r="AQ296" s="57"/>
      <c r="AR296" s="57"/>
      <c r="AS296" s="57"/>
      <c r="AT296" s="57"/>
      <c r="AU296" s="57"/>
      <c r="AV296" s="57"/>
      <c r="AW296" s="57"/>
      <c r="AX296" s="57"/>
      <c r="AY296" s="71"/>
      <c r="AZ296" s="57"/>
      <c r="BA296" s="55"/>
      <c r="BB296" s="55"/>
      <c r="BC296" s="55"/>
      <c r="BD296" s="55"/>
      <c r="BE296" s="55"/>
      <c r="BF296" s="55"/>
      <c r="BG296" s="57"/>
      <c r="BH296" s="65"/>
      <c r="BI296" s="55"/>
      <c r="BJ296" s="55"/>
      <c r="BK296" s="55"/>
      <c r="BL296" s="55"/>
      <c r="BM296" s="55"/>
      <c r="BN296" s="55"/>
      <c r="BO296" s="55"/>
      <c r="BP296" s="55"/>
      <c r="BQ296" s="65"/>
      <c r="BR296" s="55"/>
      <c r="BS296" s="55"/>
      <c r="BT296" s="55"/>
      <c r="BU296" s="55"/>
      <c r="BV296" s="55"/>
      <c r="BW296" s="55"/>
      <c r="BX296" s="55"/>
      <c r="BY296" s="55"/>
      <c r="BZ296" s="65"/>
      <c r="CA296" s="55"/>
      <c r="CB296" s="55"/>
      <c r="CC296" s="55"/>
      <c r="CD296" s="55"/>
      <c r="CE296" s="55"/>
      <c r="CF296" s="55"/>
      <c r="CG296" s="55"/>
      <c r="CH296" s="55"/>
      <c r="CI296" s="55"/>
    </row>
    <row r="297" spans="1:87">
      <c r="A297" s="12" t="str">
        <f>Roster!A297</f>
        <v/>
      </c>
      <c r="B297" s="28">
        <f>Roster!C297</f>
        <v>0</v>
      </c>
      <c r="C297" s="28" t="str">
        <f>IF(COUNTIFS(Table36103[[#This Row],[Continue Existing]:[Start New]], "TRUE")=0, "YES", "NO")</f>
        <v>YES</v>
      </c>
      <c r="D297" s="28" t="b">
        <f>COUNTIFS(Table36103[[#This Row],[Screening Results: Drug &amp; Alcohol Assessment 1]:[Other Reason 9]], "Continue with existing treatment services")&gt;0</f>
        <v>0</v>
      </c>
      <c r="E297" s="28" t="b">
        <f>COUNTIFS(Table36103[[#This Row],[Screening Results: Drug &amp; Alcohol Assessment 1]:[Other Reason 9]], "Start new service")&gt;0</f>
        <v>0</v>
      </c>
      <c r="F297" s="55"/>
      <c r="G297" s="56"/>
      <c r="H297" s="57"/>
      <c r="I297" s="57"/>
      <c r="J297" s="57"/>
      <c r="K297" s="57"/>
      <c r="L297" s="57"/>
      <c r="M297" s="57"/>
      <c r="N297" s="45"/>
      <c r="O297" s="58"/>
      <c r="P297" s="56"/>
      <c r="Q297" s="57"/>
      <c r="R297" s="57"/>
      <c r="S297" s="57"/>
      <c r="T297" s="57"/>
      <c r="U297" s="57"/>
      <c r="V297" s="57"/>
      <c r="W297" s="45"/>
      <c r="X297" s="71"/>
      <c r="Y297" s="57"/>
      <c r="Z297" s="57"/>
      <c r="AA297" s="57"/>
      <c r="AB297" s="57"/>
      <c r="AC297" s="57"/>
      <c r="AD297" s="57"/>
      <c r="AE297" s="57"/>
      <c r="AF297" s="57"/>
      <c r="AG297" s="71"/>
      <c r="AH297" s="57"/>
      <c r="AI297" s="57"/>
      <c r="AJ297" s="57"/>
      <c r="AK297" s="57"/>
      <c r="AL297" s="57"/>
      <c r="AM297" s="57"/>
      <c r="AN297" s="57"/>
      <c r="AO297" s="57"/>
      <c r="AP297" s="71"/>
      <c r="AQ297" s="57"/>
      <c r="AR297" s="57"/>
      <c r="AS297" s="57"/>
      <c r="AT297" s="57"/>
      <c r="AU297" s="57"/>
      <c r="AV297" s="57"/>
      <c r="AW297" s="57"/>
      <c r="AX297" s="57"/>
      <c r="AY297" s="71"/>
      <c r="AZ297" s="57"/>
      <c r="BA297" s="55"/>
      <c r="BB297" s="55"/>
      <c r="BC297" s="55"/>
      <c r="BD297" s="55"/>
      <c r="BE297" s="55"/>
      <c r="BF297" s="55"/>
      <c r="BG297" s="57"/>
      <c r="BH297" s="65"/>
      <c r="BI297" s="55"/>
      <c r="BJ297" s="55"/>
      <c r="BK297" s="55"/>
      <c r="BL297" s="55"/>
      <c r="BM297" s="55"/>
      <c r="BN297" s="55"/>
      <c r="BO297" s="55"/>
      <c r="BP297" s="55"/>
      <c r="BQ297" s="65"/>
      <c r="BR297" s="55"/>
      <c r="BS297" s="55"/>
      <c r="BT297" s="55"/>
      <c r="BU297" s="55"/>
      <c r="BV297" s="55"/>
      <c r="BW297" s="55"/>
      <c r="BX297" s="55"/>
      <c r="BY297" s="55"/>
      <c r="BZ297" s="65"/>
      <c r="CA297" s="55"/>
      <c r="CB297" s="55"/>
      <c r="CC297" s="55"/>
      <c r="CD297" s="55"/>
      <c r="CE297" s="55"/>
      <c r="CF297" s="55"/>
      <c r="CG297" s="55"/>
      <c r="CH297" s="55"/>
      <c r="CI297" s="55"/>
    </row>
    <row r="298" spans="1:87">
      <c r="A298" s="12" t="str">
        <f>Roster!A298</f>
        <v/>
      </c>
      <c r="B298" s="28">
        <f>Roster!C298</f>
        <v>0</v>
      </c>
      <c r="C298" s="28" t="str">
        <f>IF(COUNTIFS(Table36103[[#This Row],[Continue Existing]:[Start New]], "TRUE")=0, "YES", "NO")</f>
        <v>YES</v>
      </c>
      <c r="D298" s="28" t="b">
        <f>COUNTIFS(Table36103[[#This Row],[Screening Results: Drug &amp; Alcohol Assessment 1]:[Other Reason 9]], "Continue with existing treatment services")&gt;0</f>
        <v>0</v>
      </c>
      <c r="E298" s="28" t="b">
        <f>COUNTIFS(Table36103[[#This Row],[Screening Results: Drug &amp; Alcohol Assessment 1]:[Other Reason 9]], "Start new service")&gt;0</f>
        <v>0</v>
      </c>
      <c r="F298" s="55"/>
      <c r="G298" s="56"/>
      <c r="H298" s="57"/>
      <c r="I298" s="57"/>
      <c r="J298" s="57"/>
      <c r="K298" s="57"/>
      <c r="L298" s="57"/>
      <c r="M298" s="57"/>
      <c r="N298" s="45"/>
      <c r="O298" s="58"/>
      <c r="P298" s="56"/>
      <c r="Q298" s="57"/>
      <c r="R298" s="57"/>
      <c r="S298" s="57"/>
      <c r="T298" s="57"/>
      <c r="U298" s="57"/>
      <c r="V298" s="57"/>
      <c r="W298" s="45"/>
      <c r="X298" s="71"/>
      <c r="Y298" s="57"/>
      <c r="Z298" s="57"/>
      <c r="AA298" s="57"/>
      <c r="AB298" s="57"/>
      <c r="AC298" s="57"/>
      <c r="AD298" s="57"/>
      <c r="AE298" s="57"/>
      <c r="AF298" s="57"/>
      <c r="AG298" s="71"/>
      <c r="AH298" s="57"/>
      <c r="AI298" s="57"/>
      <c r="AJ298" s="57"/>
      <c r="AK298" s="57"/>
      <c r="AL298" s="57"/>
      <c r="AM298" s="57"/>
      <c r="AN298" s="57"/>
      <c r="AO298" s="57"/>
      <c r="AP298" s="71"/>
      <c r="AQ298" s="57"/>
      <c r="AR298" s="57"/>
      <c r="AS298" s="57"/>
      <c r="AT298" s="57"/>
      <c r="AU298" s="57"/>
      <c r="AV298" s="57"/>
      <c r="AW298" s="57"/>
      <c r="AX298" s="57"/>
      <c r="AY298" s="71"/>
      <c r="AZ298" s="57"/>
      <c r="BA298" s="55"/>
      <c r="BB298" s="55"/>
      <c r="BC298" s="55"/>
      <c r="BD298" s="55"/>
      <c r="BE298" s="55"/>
      <c r="BF298" s="55"/>
      <c r="BG298" s="57"/>
      <c r="BH298" s="65"/>
      <c r="BI298" s="55"/>
      <c r="BJ298" s="55"/>
      <c r="BK298" s="55"/>
      <c r="BL298" s="55"/>
      <c r="BM298" s="55"/>
      <c r="BN298" s="55"/>
      <c r="BO298" s="55"/>
      <c r="BP298" s="55"/>
      <c r="BQ298" s="65"/>
      <c r="BR298" s="55"/>
      <c r="BS298" s="55"/>
      <c r="BT298" s="55"/>
      <c r="BU298" s="55"/>
      <c r="BV298" s="55"/>
      <c r="BW298" s="55"/>
      <c r="BX298" s="55"/>
      <c r="BY298" s="55"/>
      <c r="BZ298" s="65"/>
      <c r="CA298" s="55"/>
      <c r="CB298" s="55"/>
      <c r="CC298" s="55"/>
      <c r="CD298" s="55"/>
      <c r="CE298" s="55"/>
      <c r="CF298" s="55"/>
      <c r="CG298" s="55"/>
      <c r="CH298" s="55"/>
      <c r="CI298" s="55"/>
    </row>
    <row r="299" spans="1:87">
      <c r="A299" s="12" t="str">
        <f>Roster!A299</f>
        <v/>
      </c>
      <c r="B299" s="28">
        <f>Roster!C299</f>
        <v>0</v>
      </c>
      <c r="C299" s="28" t="str">
        <f>IF(COUNTIFS(Table36103[[#This Row],[Continue Existing]:[Start New]], "TRUE")=0, "YES", "NO")</f>
        <v>YES</v>
      </c>
      <c r="D299" s="28" t="b">
        <f>COUNTIFS(Table36103[[#This Row],[Screening Results: Drug &amp; Alcohol Assessment 1]:[Other Reason 9]], "Continue with existing treatment services")&gt;0</f>
        <v>0</v>
      </c>
      <c r="E299" s="28" t="b">
        <f>COUNTIFS(Table36103[[#This Row],[Screening Results: Drug &amp; Alcohol Assessment 1]:[Other Reason 9]], "Start new service")&gt;0</f>
        <v>0</v>
      </c>
      <c r="F299" s="55"/>
      <c r="G299" s="56"/>
      <c r="H299" s="57"/>
      <c r="I299" s="57"/>
      <c r="J299" s="57"/>
      <c r="K299" s="57"/>
      <c r="L299" s="57"/>
      <c r="M299" s="57"/>
      <c r="N299" s="45"/>
      <c r="O299" s="58"/>
      <c r="P299" s="56"/>
      <c r="Q299" s="57"/>
      <c r="R299" s="57"/>
      <c r="S299" s="57"/>
      <c r="T299" s="57"/>
      <c r="U299" s="57"/>
      <c r="V299" s="57"/>
      <c r="W299" s="45"/>
      <c r="X299" s="71"/>
      <c r="Y299" s="57"/>
      <c r="Z299" s="57"/>
      <c r="AA299" s="57"/>
      <c r="AB299" s="57"/>
      <c r="AC299" s="57"/>
      <c r="AD299" s="57"/>
      <c r="AE299" s="57"/>
      <c r="AF299" s="57"/>
      <c r="AG299" s="71"/>
      <c r="AH299" s="57"/>
      <c r="AI299" s="57"/>
      <c r="AJ299" s="57"/>
      <c r="AK299" s="57"/>
      <c r="AL299" s="57"/>
      <c r="AM299" s="57"/>
      <c r="AN299" s="57"/>
      <c r="AO299" s="57"/>
      <c r="AP299" s="71"/>
      <c r="AQ299" s="57"/>
      <c r="AR299" s="57"/>
      <c r="AS299" s="57"/>
      <c r="AT299" s="57"/>
      <c r="AU299" s="57"/>
      <c r="AV299" s="57"/>
      <c r="AW299" s="57"/>
      <c r="AX299" s="57"/>
      <c r="AY299" s="71"/>
      <c r="AZ299" s="57"/>
      <c r="BA299" s="55"/>
      <c r="BB299" s="55"/>
      <c r="BC299" s="55"/>
      <c r="BD299" s="55"/>
      <c r="BE299" s="55"/>
      <c r="BF299" s="55"/>
      <c r="BG299" s="57"/>
      <c r="BH299" s="65"/>
      <c r="BI299" s="55"/>
      <c r="BJ299" s="55"/>
      <c r="BK299" s="55"/>
      <c r="BL299" s="55"/>
      <c r="BM299" s="55"/>
      <c r="BN299" s="55"/>
      <c r="BO299" s="55"/>
      <c r="BP299" s="55"/>
      <c r="BQ299" s="65"/>
      <c r="BR299" s="55"/>
      <c r="BS299" s="55"/>
      <c r="BT299" s="55"/>
      <c r="BU299" s="55"/>
      <c r="BV299" s="55"/>
      <c r="BW299" s="55"/>
      <c r="BX299" s="55"/>
      <c r="BY299" s="55"/>
      <c r="BZ299" s="65"/>
      <c r="CA299" s="55"/>
      <c r="CB299" s="55"/>
      <c r="CC299" s="55"/>
      <c r="CD299" s="55"/>
      <c r="CE299" s="55"/>
      <c r="CF299" s="55"/>
      <c r="CG299" s="55"/>
      <c r="CH299" s="55"/>
      <c r="CI299" s="55"/>
    </row>
    <row r="300" spans="1:87">
      <c r="A300" s="12" t="str">
        <f>Roster!A300</f>
        <v/>
      </c>
      <c r="B300" s="28">
        <f>Roster!C300</f>
        <v>0</v>
      </c>
      <c r="C300" s="28" t="str">
        <f>IF(COUNTIFS(Table36103[[#This Row],[Continue Existing]:[Start New]], "TRUE")=0, "YES", "NO")</f>
        <v>YES</v>
      </c>
      <c r="D300" s="28" t="b">
        <f>COUNTIFS(Table36103[[#This Row],[Screening Results: Drug &amp; Alcohol Assessment 1]:[Other Reason 9]], "Continue with existing treatment services")&gt;0</f>
        <v>0</v>
      </c>
      <c r="E300" s="28" t="b">
        <f>COUNTIFS(Table36103[[#This Row],[Screening Results: Drug &amp; Alcohol Assessment 1]:[Other Reason 9]], "Start new service")&gt;0</f>
        <v>0</v>
      </c>
      <c r="F300" s="55"/>
      <c r="G300" s="56"/>
      <c r="H300" s="57"/>
      <c r="I300" s="57"/>
      <c r="J300" s="57"/>
      <c r="K300" s="57"/>
      <c r="L300" s="57"/>
      <c r="M300" s="57"/>
      <c r="N300" s="45"/>
      <c r="O300" s="58"/>
      <c r="P300" s="56"/>
      <c r="Q300" s="57"/>
      <c r="R300" s="57"/>
      <c r="S300" s="57"/>
      <c r="T300" s="57"/>
      <c r="U300" s="57"/>
      <c r="V300" s="57"/>
      <c r="W300" s="45"/>
      <c r="X300" s="71"/>
      <c r="Y300" s="57"/>
      <c r="Z300" s="57"/>
      <c r="AA300" s="57"/>
      <c r="AB300" s="57"/>
      <c r="AC300" s="57"/>
      <c r="AD300" s="57"/>
      <c r="AE300" s="57"/>
      <c r="AF300" s="57"/>
      <c r="AG300" s="71"/>
      <c r="AH300" s="57"/>
      <c r="AI300" s="57"/>
      <c r="AJ300" s="57"/>
      <c r="AK300" s="57"/>
      <c r="AL300" s="57"/>
      <c r="AM300" s="57"/>
      <c r="AN300" s="57"/>
      <c r="AO300" s="57"/>
      <c r="AP300" s="71"/>
      <c r="AQ300" s="57"/>
      <c r="AR300" s="57"/>
      <c r="AS300" s="57"/>
      <c r="AT300" s="57"/>
      <c r="AU300" s="57"/>
      <c r="AV300" s="57"/>
      <c r="AW300" s="57"/>
      <c r="AX300" s="57"/>
      <c r="AY300" s="71"/>
      <c r="AZ300" s="57"/>
      <c r="BA300" s="55"/>
      <c r="BB300" s="55"/>
      <c r="BC300" s="55"/>
      <c r="BD300" s="55"/>
      <c r="BE300" s="55"/>
      <c r="BF300" s="55"/>
      <c r="BG300" s="57"/>
      <c r="BH300" s="65"/>
      <c r="BI300" s="55"/>
      <c r="BJ300" s="55"/>
      <c r="BK300" s="55"/>
      <c r="BL300" s="55"/>
      <c r="BM300" s="55"/>
      <c r="BN300" s="55"/>
      <c r="BO300" s="55"/>
      <c r="BP300" s="55"/>
      <c r="BQ300" s="65"/>
      <c r="BR300" s="55"/>
      <c r="BS300" s="55"/>
      <c r="BT300" s="55"/>
      <c r="BU300" s="55"/>
      <c r="BV300" s="55"/>
      <c r="BW300" s="55"/>
      <c r="BX300" s="55"/>
      <c r="BY300" s="55"/>
      <c r="BZ300" s="65"/>
      <c r="CA300" s="55"/>
      <c r="CB300" s="55"/>
      <c r="CC300" s="55"/>
      <c r="CD300" s="55"/>
      <c r="CE300" s="55"/>
      <c r="CF300" s="55"/>
      <c r="CG300" s="55"/>
      <c r="CH300" s="55"/>
      <c r="CI300" s="55"/>
    </row>
    <row r="301" spans="1:87">
      <c r="A301" s="12" t="str">
        <f>Roster!A301</f>
        <v/>
      </c>
      <c r="B301" s="28">
        <f>Roster!C301</f>
        <v>0</v>
      </c>
      <c r="C301" s="28"/>
      <c r="D301" s="28"/>
      <c r="E301" s="28"/>
      <c r="F301" s="55"/>
      <c r="G301" s="56"/>
      <c r="H301" s="57"/>
      <c r="I301" s="57"/>
      <c r="J301" s="57"/>
      <c r="K301" s="57"/>
      <c r="L301" s="57"/>
      <c r="M301" s="57"/>
      <c r="N301" s="45"/>
      <c r="O301" s="58"/>
      <c r="P301" s="56"/>
      <c r="Q301" s="57"/>
      <c r="R301" s="57"/>
      <c r="S301" s="57"/>
      <c r="T301" s="57"/>
      <c r="U301" s="57"/>
      <c r="V301" s="57"/>
      <c r="W301" s="45"/>
      <c r="X301" s="71"/>
      <c r="Y301" s="57"/>
      <c r="Z301" s="57"/>
      <c r="AA301" s="57"/>
      <c r="AB301" s="57"/>
      <c r="AC301" s="57"/>
      <c r="AD301" s="57"/>
      <c r="AE301" s="57"/>
      <c r="AF301" s="57"/>
      <c r="AG301" s="71"/>
      <c r="AH301" s="57"/>
      <c r="AI301" s="57"/>
      <c r="AJ301" s="57"/>
      <c r="AK301" s="57"/>
      <c r="AL301" s="57"/>
      <c r="AM301" s="57"/>
      <c r="AN301" s="57"/>
      <c r="AO301" s="57"/>
      <c r="AP301" s="71"/>
      <c r="AQ301" s="57"/>
      <c r="AR301" s="57"/>
      <c r="AS301" s="57"/>
      <c r="AT301" s="57"/>
      <c r="AU301" s="57"/>
      <c r="AV301" s="57"/>
      <c r="AW301" s="57"/>
      <c r="AX301" s="57"/>
      <c r="AY301" s="71"/>
      <c r="AZ301" s="57"/>
      <c r="BA301" s="55"/>
      <c r="BB301" s="55"/>
      <c r="BC301" s="55"/>
      <c r="BD301" s="55"/>
      <c r="BE301" s="55"/>
      <c r="BF301" s="55"/>
      <c r="BG301" s="57"/>
      <c r="BH301" s="65"/>
      <c r="BI301" s="55"/>
      <c r="BJ301" s="55"/>
      <c r="BK301" s="55"/>
      <c r="BL301" s="55"/>
      <c r="BM301" s="55"/>
      <c r="BN301" s="55"/>
      <c r="BO301" s="55"/>
      <c r="BP301" s="55"/>
      <c r="BQ301" s="65"/>
      <c r="BR301" s="55"/>
      <c r="BS301" s="55"/>
      <c r="BT301" s="55"/>
      <c r="BU301" s="55"/>
      <c r="BV301" s="55"/>
      <c r="BW301" s="55"/>
      <c r="BX301" s="55"/>
      <c r="BY301" s="55"/>
      <c r="BZ301" s="65"/>
      <c r="CA301" s="55"/>
      <c r="CB301" s="55"/>
      <c r="CC301" s="55"/>
      <c r="CD301" s="55"/>
      <c r="CE301" s="55"/>
      <c r="CF301" s="55"/>
      <c r="CG301" s="55"/>
      <c r="CH301" s="55"/>
      <c r="CI301" s="55"/>
    </row>
  </sheetData>
  <sheetProtection algorithmName="SHA-512" hashValue="P6Ba7cIYkciPrfJdvvXhsWO4SqCW6y3giS4qNOt2PNTRO62hY2zYfwfa+/ZS7WKsZu58DnRM5lNTry5c1W2pMg==" saltValue="rnDSzx/wCGcYfO9qkGMgpA==" spinCount="100000" sheet="1" objects="1" scenarios="1"/>
  <mergeCells count="11">
    <mergeCell ref="G1:N1"/>
    <mergeCell ref="P1:W1"/>
    <mergeCell ref="BZ1:CA1"/>
    <mergeCell ref="A1:B1"/>
    <mergeCell ref="CB1:CI1"/>
    <mergeCell ref="AZ1:BG1"/>
    <mergeCell ref="BI1:BP1"/>
    <mergeCell ref="BR1:BY1"/>
    <mergeCell ref="Y1:AF1"/>
    <mergeCell ref="AH1:AO1"/>
    <mergeCell ref="AQ1:AX1"/>
  </mergeCells>
  <phoneticPr fontId="2" type="noConversion"/>
  <dataValidations count="1">
    <dataValidation type="whole" allowBlank="1" showInputMessage="1" showErrorMessage="1" errorTitle="Invalid Entry" error="You must use a 1 or leave the cell blank!" sqref="H3:M301 Q3:V301 Z3:AE301 AI3:AN301 AR3:AW301 BA3:BF301 BJ3:BO301 BS3:BX301 CC3:CH301" xr:uid="{8A85ECB6-E47C-4242-93D1-1FA0E7721EDE}">
      <formula1>1</formula1>
      <formula2>1</formula2>
    </dataValidation>
  </dataValidations>
  <pageMargins left="0.25" right="0.25" top="0.75" bottom="0.75" header="0.3" footer="0.3"/>
  <pageSetup orientation="landscape"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use the dropdown menu for your entry!" xr:uid="{726DA6F3-E407-47FC-892F-C1A5B8DE14C9}">
          <x14:formula1>
            <xm:f>'DropDown Lists'!$F$2:$F$4</xm:f>
          </x14:formula1>
          <xm:sqref>G3:G301 P3:P301 Y3:Y301 AH3:AH301 AQ3:AQ301 AZ3:AZ301 BI3:BI301 BR3:BR301 CB3:CB301</xm:sqref>
        </x14:dataValidation>
        <x14:dataValidation type="list" allowBlank="1" showInputMessage="1" showErrorMessage="1" errorTitle="Invalid Entry" error="Please use the dropdown menu for your entry!" xr:uid="{0BED734E-3ABC-4671-9D09-DBB2765B0F07}">
          <x14:formula1>
            <xm:f>'DropDown Lists'!$E$2:$E$4</xm:f>
          </x14:formula1>
          <xm:sqref>F3:F301 O3:O301 X3:X301 AG3:AG301 AP3:AP301 AY3:AY301 BH3:BH301 BQ3:BQ301 BZ3:BZ301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FFD0-EDFC-4B98-9BBA-C7B0C8C73707}">
  <sheetPr>
    <tabColor rgb="FFFFC000"/>
  </sheetPr>
  <dimension ref="A1:AW301"/>
  <sheetViews>
    <sheetView zoomScale="85" zoomScaleNormal="85" workbookViewId="0">
      <pane xSplit="1" ySplit="2" topLeftCell="B3" activePane="bottomRight" state="frozen"/>
      <selection pane="topRight" activeCell="B1" sqref="B1"/>
      <selection pane="bottomLeft" activeCell="A2" sqref="A2"/>
      <selection pane="bottomRight" activeCell="C3" sqref="C3"/>
    </sheetView>
  </sheetViews>
  <sheetFormatPr defaultColWidth="8.85546875" defaultRowHeight="15"/>
  <cols>
    <col min="1" max="1" width="19.140625" customWidth="1"/>
    <col min="2" max="2" width="6.5703125" style="25" customWidth="1"/>
    <col min="3" max="3" width="18.7109375" style="25" customWidth="1"/>
    <col min="4" max="4" width="10.7109375" customWidth="1"/>
    <col min="5" max="10" width="5" customWidth="1"/>
    <col min="11" max="11" width="15" style="5" customWidth="1"/>
    <col min="12" max="12" width="18.7109375" style="35" customWidth="1"/>
    <col min="13" max="13" width="12.85546875" customWidth="1"/>
    <col min="14" max="19" width="5" customWidth="1"/>
    <col min="20" max="20" width="15" customWidth="1"/>
    <col min="21" max="21" width="17.28515625" style="20" customWidth="1"/>
    <col min="22" max="22" width="16.5703125" customWidth="1"/>
    <col min="23" max="23" width="12.85546875" customWidth="1"/>
    <col min="24" max="29" width="5" customWidth="1"/>
    <col min="30" max="30" width="15" customWidth="1"/>
    <col min="31" max="31" width="18.7109375" style="36" customWidth="1"/>
    <col min="32" max="32" width="12.85546875" customWidth="1"/>
    <col min="33" max="38" width="5" customWidth="1"/>
    <col min="39" max="39" width="15" customWidth="1"/>
    <col min="40" max="40" width="17.28515625" style="20" customWidth="1"/>
    <col min="41" max="41" width="16.5703125" customWidth="1"/>
    <col min="42" max="42" width="12.85546875" customWidth="1"/>
    <col min="43" max="48" width="5" customWidth="1"/>
    <col min="49" max="49" width="15" customWidth="1"/>
  </cols>
  <sheetData>
    <row r="1" spans="1:49" ht="14.45" customHeight="1">
      <c r="A1" s="221" t="s">
        <v>39</v>
      </c>
      <c r="B1" s="222"/>
      <c r="C1" s="34" t="s">
        <v>40</v>
      </c>
      <c r="D1" s="218" t="s">
        <v>41</v>
      </c>
      <c r="E1" s="219"/>
      <c r="F1" s="219"/>
      <c r="G1" s="219"/>
      <c r="H1" s="219"/>
      <c r="I1" s="219"/>
      <c r="J1" s="219"/>
      <c r="K1" s="219"/>
      <c r="L1" s="34" t="s">
        <v>42</v>
      </c>
      <c r="M1" s="218" t="s">
        <v>41</v>
      </c>
      <c r="N1" s="219"/>
      <c r="O1" s="219"/>
      <c r="P1" s="219"/>
      <c r="Q1" s="219"/>
      <c r="R1" s="219"/>
      <c r="S1" s="219"/>
      <c r="T1" s="219"/>
      <c r="U1" s="218" t="s">
        <v>43</v>
      </c>
      <c r="V1" s="220"/>
      <c r="W1" s="218" t="s">
        <v>41</v>
      </c>
      <c r="X1" s="219"/>
      <c r="Y1" s="219"/>
      <c r="Z1" s="219"/>
      <c r="AA1" s="219"/>
      <c r="AB1" s="219"/>
      <c r="AC1" s="219"/>
      <c r="AD1" s="219"/>
      <c r="AE1" s="34" t="s">
        <v>44</v>
      </c>
      <c r="AF1" s="218" t="s">
        <v>41</v>
      </c>
      <c r="AG1" s="219"/>
      <c r="AH1" s="219"/>
      <c r="AI1" s="219"/>
      <c r="AJ1" s="219"/>
      <c r="AK1" s="219"/>
      <c r="AL1" s="219"/>
      <c r="AM1" s="219"/>
      <c r="AN1" s="218" t="s">
        <v>45</v>
      </c>
      <c r="AO1" s="220"/>
      <c r="AP1" s="218" t="s">
        <v>41</v>
      </c>
      <c r="AQ1" s="219"/>
      <c r="AR1" s="219"/>
      <c r="AS1" s="219"/>
      <c r="AT1" s="219"/>
      <c r="AU1" s="219"/>
      <c r="AV1" s="219"/>
      <c r="AW1" s="219"/>
    </row>
    <row r="2" spans="1:49" ht="218.25">
      <c r="A2" s="201" t="s">
        <v>33</v>
      </c>
      <c r="B2" s="202" t="s">
        <v>6</v>
      </c>
      <c r="C2" s="14" t="s">
        <v>136</v>
      </c>
      <c r="D2" s="14" t="s">
        <v>51</v>
      </c>
      <c r="E2" s="4" t="s">
        <v>52</v>
      </c>
      <c r="F2" s="4" t="s">
        <v>53</v>
      </c>
      <c r="G2" s="4" t="s">
        <v>54</v>
      </c>
      <c r="H2" s="4" t="s">
        <v>55</v>
      </c>
      <c r="I2" s="4" t="s">
        <v>56</v>
      </c>
      <c r="J2" s="4" t="s">
        <v>57</v>
      </c>
      <c r="K2" s="18" t="s">
        <v>58</v>
      </c>
      <c r="L2" s="203" t="s">
        <v>137</v>
      </c>
      <c r="M2" s="204" t="s">
        <v>60</v>
      </c>
      <c r="N2" s="205" t="s">
        <v>61</v>
      </c>
      <c r="O2" s="205" t="s">
        <v>62</v>
      </c>
      <c r="P2" s="205" t="s">
        <v>63</v>
      </c>
      <c r="Q2" s="205" t="s">
        <v>64</v>
      </c>
      <c r="R2" s="205" t="s">
        <v>65</v>
      </c>
      <c r="S2" s="205" t="s">
        <v>66</v>
      </c>
      <c r="T2" s="206" t="s">
        <v>67</v>
      </c>
      <c r="U2" s="19" t="s">
        <v>138</v>
      </c>
      <c r="V2" s="15" t="s">
        <v>139</v>
      </c>
      <c r="W2" s="15" t="s">
        <v>69</v>
      </c>
      <c r="X2" s="17" t="s">
        <v>70</v>
      </c>
      <c r="Y2" s="17" t="s">
        <v>71</v>
      </c>
      <c r="Z2" s="17" t="s">
        <v>72</v>
      </c>
      <c r="AA2" s="17" t="s">
        <v>73</v>
      </c>
      <c r="AB2" s="17" t="s">
        <v>74</v>
      </c>
      <c r="AC2" s="17" t="s">
        <v>75</v>
      </c>
      <c r="AD2" s="22" t="s">
        <v>76</v>
      </c>
      <c r="AE2" s="207" t="s">
        <v>140</v>
      </c>
      <c r="AF2" s="204" t="s">
        <v>78</v>
      </c>
      <c r="AG2" s="208" t="s">
        <v>79</v>
      </c>
      <c r="AH2" s="208" t="s">
        <v>80</v>
      </c>
      <c r="AI2" s="208" t="s">
        <v>81</v>
      </c>
      <c r="AJ2" s="208" t="s">
        <v>82</v>
      </c>
      <c r="AK2" s="208" t="s">
        <v>83</v>
      </c>
      <c r="AL2" s="208" t="s">
        <v>84</v>
      </c>
      <c r="AM2" s="206" t="s">
        <v>85</v>
      </c>
      <c r="AN2" s="19" t="s">
        <v>141</v>
      </c>
      <c r="AO2" s="15" t="s">
        <v>142</v>
      </c>
      <c r="AP2" s="15" t="s">
        <v>87</v>
      </c>
      <c r="AQ2" s="17" t="s">
        <v>88</v>
      </c>
      <c r="AR2" s="17" t="s">
        <v>89</v>
      </c>
      <c r="AS2" s="17" t="s">
        <v>90</v>
      </c>
      <c r="AT2" s="17" t="s">
        <v>91</v>
      </c>
      <c r="AU2" s="17" t="s">
        <v>92</v>
      </c>
      <c r="AV2" s="17" t="s">
        <v>93</v>
      </c>
      <c r="AW2" s="22" t="s">
        <v>143</v>
      </c>
    </row>
    <row r="3" spans="1:49">
      <c r="A3" s="12" t="str">
        <f>Roster!A3</f>
        <v/>
      </c>
      <c r="B3" s="28">
        <f>Roster!C3</f>
        <v>0</v>
      </c>
      <c r="C3" s="55"/>
      <c r="D3" s="56"/>
      <c r="E3" s="57"/>
      <c r="F3" s="57"/>
      <c r="G3" s="57"/>
      <c r="H3" s="57"/>
      <c r="I3" s="57"/>
      <c r="J3" s="57"/>
      <c r="K3" s="51"/>
      <c r="L3" s="58"/>
      <c r="M3" s="56"/>
      <c r="N3" s="57"/>
      <c r="O3" s="57"/>
      <c r="P3" s="57"/>
      <c r="Q3" s="57"/>
      <c r="R3" s="57"/>
      <c r="S3" s="57"/>
      <c r="T3" s="51"/>
      <c r="U3" s="72"/>
      <c r="V3" s="73"/>
      <c r="W3" s="60"/>
      <c r="X3" s="61"/>
      <c r="Y3" s="61"/>
      <c r="Z3" s="61"/>
      <c r="AA3" s="61"/>
      <c r="AB3" s="61"/>
      <c r="AC3" s="61"/>
      <c r="AD3" s="62"/>
      <c r="AE3" s="59"/>
      <c r="AF3" s="60"/>
      <c r="AG3" s="61"/>
      <c r="AH3" s="61"/>
      <c r="AI3" s="61"/>
      <c r="AJ3" s="61"/>
      <c r="AK3" s="61"/>
      <c r="AL3" s="61"/>
      <c r="AM3" s="62"/>
      <c r="AN3" s="72"/>
      <c r="AO3" s="73"/>
      <c r="AP3" s="60"/>
      <c r="AQ3" s="61"/>
      <c r="AR3" s="61"/>
      <c r="AS3" s="61"/>
      <c r="AT3" s="61"/>
      <c r="AU3" s="61"/>
      <c r="AV3" s="61"/>
      <c r="AW3" s="62"/>
    </row>
    <row r="4" spans="1:49">
      <c r="A4" s="12" t="str">
        <f>Roster!A4</f>
        <v/>
      </c>
      <c r="B4" s="28">
        <f>Roster!C4</f>
        <v>0</v>
      </c>
      <c r="C4" s="55"/>
      <c r="D4" s="56"/>
      <c r="E4" s="57"/>
      <c r="F4" s="57"/>
      <c r="G4" s="57"/>
      <c r="H4" s="57"/>
      <c r="I4" s="57"/>
      <c r="J4" s="57"/>
      <c r="K4" s="51"/>
      <c r="L4" s="58"/>
      <c r="M4" s="56"/>
      <c r="N4" s="57"/>
      <c r="O4" s="57"/>
      <c r="P4" s="57"/>
      <c r="Q4" s="57"/>
      <c r="R4" s="57"/>
      <c r="S4" s="57"/>
      <c r="T4" s="51"/>
      <c r="U4" s="74"/>
      <c r="V4" s="45"/>
      <c r="W4" s="56"/>
      <c r="X4" s="57"/>
      <c r="Y4" s="57"/>
      <c r="Z4" s="57"/>
      <c r="AA4" s="57"/>
      <c r="AB4" s="57"/>
      <c r="AC4" s="57"/>
      <c r="AD4" s="51"/>
      <c r="AE4" s="65"/>
      <c r="AF4" s="56"/>
      <c r="AG4" s="57"/>
      <c r="AH4" s="57"/>
      <c r="AI4" s="57"/>
      <c r="AJ4" s="57"/>
      <c r="AK4" s="57"/>
      <c r="AL4" s="57"/>
      <c r="AM4" s="51"/>
      <c r="AN4" s="74"/>
      <c r="AO4" s="45"/>
      <c r="AP4" s="56"/>
      <c r="AQ4" s="57"/>
      <c r="AR4" s="57"/>
      <c r="AS4" s="57"/>
      <c r="AT4" s="57"/>
      <c r="AU4" s="57"/>
      <c r="AV4" s="57"/>
      <c r="AW4" s="51"/>
    </row>
    <row r="5" spans="1:49">
      <c r="A5" s="12" t="str">
        <f>Roster!A5</f>
        <v/>
      </c>
      <c r="B5" s="28">
        <f>Roster!C5</f>
        <v>0</v>
      </c>
      <c r="C5" s="55"/>
      <c r="D5" s="56"/>
      <c r="E5" s="57"/>
      <c r="F5" s="57"/>
      <c r="G5" s="57"/>
      <c r="H5" s="57"/>
      <c r="I5" s="57"/>
      <c r="J5" s="57"/>
      <c r="K5" s="51"/>
      <c r="L5" s="58"/>
      <c r="M5" s="56"/>
      <c r="N5" s="57"/>
      <c r="O5" s="57"/>
      <c r="P5" s="57"/>
      <c r="Q5" s="57"/>
      <c r="R5" s="57"/>
      <c r="S5" s="57"/>
      <c r="T5" s="51"/>
      <c r="U5" s="74"/>
      <c r="V5" s="45"/>
      <c r="W5" s="56"/>
      <c r="X5" s="57"/>
      <c r="Y5" s="57"/>
      <c r="Z5" s="57"/>
      <c r="AA5" s="57"/>
      <c r="AB5" s="57"/>
      <c r="AC5" s="57"/>
      <c r="AD5" s="51"/>
      <c r="AE5" s="65"/>
      <c r="AF5" s="56"/>
      <c r="AG5" s="57"/>
      <c r="AH5" s="57"/>
      <c r="AI5" s="57"/>
      <c r="AJ5" s="57"/>
      <c r="AK5" s="57"/>
      <c r="AL5" s="57"/>
      <c r="AM5" s="51"/>
      <c r="AN5" s="74"/>
      <c r="AO5" s="45"/>
      <c r="AP5" s="56"/>
      <c r="AQ5" s="57"/>
      <c r="AR5" s="57"/>
      <c r="AS5" s="57"/>
      <c r="AT5" s="57"/>
      <c r="AU5" s="57"/>
      <c r="AV5" s="57"/>
      <c r="AW5" s="51"/>
    </row>
    <row r="6" spans="1:49">
      <c r="A6" s="12" t="str">
        <f>Roster!A6</f>
        <v/>
      </c>
      <c r="B6" s="28">
        <f>Roster!C6</f>
        <v>0</v>
      </c>
      <c r="C6" s="55"/>
      <c r="D6" s="56"/>
      <c r="E6" s="57"/>
      <c r="F6" s="57"/>
      <c r="G6" s="57"/>
      <c r="H6" s="57"/>
      <c r="I6" s="57"/>
      <c r="J6" s="57"/>
      <c r="K6" s="51"/>
      <c r="L6" s="58"/>
      <c r="M6" s="56"/>
      <c r="N6" s="57"/>
      <c r="O6" s="57"/>
      <c r="P6" s="57"/>
      <c r="Q6" s="57"/>
      <c r="R6" s="57"/>
      <c r="S6" s="57"/>
      <c r="T6" s="51"/>
      <c r="U6" s="74"/>
      <c r="V6" s="45"/>
      <c r="W6" s="56"/>
      <c r="X6" s="57"/>
      <c r="Y6" s="57"/>
      <c r="Z6" s="57"/>
      <c r="AA6" s="57"/>
      <c r="AB6" s="57"/>
      <c r="AC6" s="57"/>
      <c r="AD6" s="51"/>
      <c r="AE6" s="65"/>
      <c r="AF6" s="56"/>
      <c r="AG6" s="57"/>
      <c r="AH6" s="57"/>
      <c r="AI6" s="57"/>
      <c r="AJ6" s="57"/>
      <c r="AK6" s="57"/>
      <c r="AL6" s="57"/>
      <c r="AM6" s="51"/>
      <c r="AN6" s="74"/>
      <c r="AO6" s="45"/>
      <c r="AP6" s="56"/>
      <c r="AQ6" s="57"/>
      <c r="AR6" s="57"/>
      <c r="AS6" s="57"/>
      <c r="AT6" s="57"/>
      <c r="AU6" s="57"/>
      <c r="AV6" s="57"/>
      <c r="AW6" s="51"/>
    </row>
    <row r="7" spans="1:49">
      <c r="A7" s="12" t="str">
        <f>Roster!A7</f>
        <v/>
      </c>
      <c r="B7" s="28">
        <f>Roster!C7</f>
        <v>0</v>
      </c>
      <c r="C7" s="55"/>
      <c r="D7" s="56"/>
      <c r="E7" s="57"/>
      <c r="F7" s="57"/>
      <c r="G7" s="57"/>
      <c r="H7" s="57"/>
      <c r="I7" s="57"/>
      <c r="J7" s="57"/>
      <c r="K7" s="51"/>
      <c r="L7" s="58"/>
      <c r="M7" s="56"/>
      <c r="N7" s="57"/>
      <c r="O7" s="57"/>
      <c r="P7" s="57"/>
      <c r="Q7" s="57"/>
      <c r="R7" s="57"/>
      <c r="S7" s="57"/>
      <c r="T7" s="51"/>
      <c r="U7" s="74"/>
      <c r="V7" s="45"/>
      <c r="W7" s="56"/>
      <c r="X7" s="57"/>
      <c r="Y7" s="57"/>
      <c r="Z7" s="57"/>
      <c r="AA7" s="57"/>
      <c r="AB7" s="57"/>
      <c r="AC7" s="57"/>
      <c r="AD7" s="51"/>
      <c r="AE7" s="65"/>
      <c r="AF7" s="56"/>
      <c r="AG7" s="57"/>
      <c r="AH7" s="57"/>
      <c r="AI7" s="57"/>
      <c r="AJ7" s="57"/>
      <c r="AK7" s="57"/>
      <c r="AL7" s="57"/>
      <c r="AM7" s="51"/>
      <c r="AN7" s="74"/>
      <c r="AO7" s="45"/>
      <c r="AP7" s="56"/>
      <c r="AQ7" s="57"/>
      <c r="AR7" s="57"/>
      <c r="AS7" s="57"/>
      <c r="AT7" s="57"/>
      <c r="AU7" s="57"/>
      <c r="AV7" s="57"/>
      <c r="AW7" s="51"/>
    </row>
    <row r="8" spans="1:49">
      <c r="A8" s="12" t="str">
        <f>Roster!A8</f>
        <v/>
      </c>
      <c r="B8" s="28">
        <f>Roster!C8</f>
        <v>0</v>
      </c>
      <c r="C8" s="55"/>
      <c r="D8" s="56"/>
      <c r="E8" s="57"/>
      <c r="F8" s="57"/>
      <c r="G8" s="57"/>
      <c r="H8" s="57"/>
      <c r="I8" s="57"/>
      <c r="J8" s="57"/>
      <c r="K8" s="51"/>
      <c r="L8" s="58"/>
      <c r="M8" s="56"/>
      <c r="N8" s="57"/>
      <c r="O8" s="57"/>
      <c r="P8" s="57"/>
      <c r="Q8" s="57"/>
      <c r="R8" s="57"/>
      <c r="S8" s="57"/>
      <c r="T8" s="51"/>
      <c r="U8" s="74"/>
      <c r="V8" s="45"/>
      <c r="W8" s="56"/>
      <c r="X8" s="57"/>
      <c r="Y8" s="57"/>
      <c r="Z8" s="57"/>
      <c r="AA8" s="57"/>
      <c r="AB8" s="57"/>
      <c r="AC8" s="57"/>
      <c r="AD8" s="51"/>
      <c r="AE8" s="65"/>
      <c r="AF8" s="56"/>
      <c r="AG8" s="57"/>
      <c r="AH8" s="57"/>
      <c r="AI8" s="57"/>
      <c r="AJ8" s="57"/>
      <c r="AK8" s="57"/>
      <c r="AL8" s="57"/>
      <c r="AM8" s="51"/>
      <c r="AN8" s="74"/>
      <c r="AO8" s="45"/>
      <c r="AP8" s="56"/>
      <c r="AQ8" s="57"/>
      <c r="AR8" s="57"/>
      <c r="AS8" s="57"/>
      <c r="AT8" s="57"/>
      <c r="AU8" s="57"/>
      <c r="AV8" s="57"/>
      <c r="AW8" s="51"/>
    </row>
    <row r="9" spans="1:49">
      <c r="A9" s="12" t="str">
        <f>Roster!A9</f>
        <v/>
      </c>
      <c r="B9" s="28">
        <f>Roster!C9</f>
        <v>0</v>
      </c>
      <c r="C9" s="55"/>
      <c r="D9" s="56"/>
      <c r="E9" s="57"/>
      <c r="F9" s="57"/>
      <c r="G9" s="57"/>
      <c r="H9" s="57"/>
      <c r="I9" s="57"/>
      <c r="J9" s="57"/>
      <c r="K9" s="51"/>
      <c r="L9" s="58"/>
      <c r="M9" s="56"/>
      <c r="N9" s="57"/>
      <c r="O9" s="57"/>
      <c r="P9" s="57"/>
      <c r="Q9" s="57"/>
      <c r="R9" s="57"/>
      <c r="S9" s="57"/>
      <c r="T9" s="51"/>
      <c r="U9" s="74"/>
      <c r="V9" s="45"/>
      <c r="W9" s="56"/>
      <c r="X9" s="57"/>
      <c r="Y9" s="57"/>
      <c r="Z9" s="57"/>
      <c r="AA9" s="57"/>
      <c r="AB9" s="57"/>
      <c r="AC9" s="57"/>
      <c r="AD9" s="51"/>
      <c r="AE9" s="65"/>
      <c r="AF9" s="56"/>
      <c r="AG9" s="57"/>
      <c r="AH9" s="57"/>
      <c r="AI9" s="57"/>
      <c r="AJ9" s="57"/>
      <c r="AK9" s="57"/>
      <c r="AL9" s="57"/>
      <c r="AM9" s="51"/>
      <c r="AN9" s="74"/>
      <c r="AO9" s="45"/>
      <c r="AP9" s="56"/>
      <c r="AQ9" s="57"/>
      <c r="AR9" s="57"/>
      <c r="AS9" s="57"/>
      <c r="AT9" s="57"/>
      <c r="AU9" s="57"/>
      <c r="AV9" s="57"/>
      <c r="AW9" s="51"/>
    </row>
    <row r="10" spans="1:49">
      <c r="A10" s="12" t="str">
        <f>Roster!A10</f>
        <v/>
      </c>
      <c r="B10" s="28">
        <f>Roster!C10</f>
        <v>0</v>
      </c>
      <c r="C10" s="55"/>
      <c r="D10" s="56"/>
      <c r="E10" s="57"/>
      <c r="F10" s="57"/>
      <c r="G10" s="57"/>
      <c r="H10" s="57"/>
      <c r="I10" s="57"/>
      <c r="J10" s="57"/>
      <c r="K10" s="51"/>
      <c r="L10" s="58"/>
      <c r="M10" s="56"/>
      <c r="N10" s="57"/>
      <c r="O10" s="57"/>
      <c r="P10" s="57"/>
      <c r="Q10" s="57"/>
      <c r="R10" s="57"/>
      <c r="S10" s="57"/>
      <c r="T10" s="51"/>
      <c r="U10" s="74"/>
      <c r="V10" s="45"/>
      <c r="W10" s="56"/>
      <c r="X10" s="57"/>
      <c r="Y10" s="57"/>
      <c r="Z10" s="57"/>
      <c r="AA10" s="57"/>
      <c r="AB10" s="57"/>
      <c r="AC10" s="57"/>
      <c r="AD10" s="51"/>
      <c r="AE10" s="65"/>
      <c r="AF10" s="56"/>
      <c r="AG10" s="57"/>
      <c r="AH10" s="57"/>
      <c r="AI10" s="57"/>
      <c r="AJ10" s="57"/>
      <c r="AK10" s="57"/>
      <c r="AL10" s="57"/>
      <c r="AM10" s="51"/>
      <c r="AN10" s="74"/>
      <c r="AO10" s="45"/>
      <c r="AP10" s="56"/>
      <c r="AQ10" s="57"/>
      <c r="AR10" s="57"/>
      <c r="AS10" s="57"/>
      <c r="AT10" s="57"/>
      <c r="AU10" s="57"/>
      <c r="AV10" s="57"/>
      <c r="AW10" s="51"/>
    </row>
    <row r="11" spans="1:49" ht="14.45" customHeight="1">
      <c r="A11" s="12" t="str">
        <f>Roster!A11</f>
        <v/>
      </c>
      <c r="B11" s="28">
        <f>Roster!C11</f>
        <v>0</v>
      </c>
      <c r="C11" s="55"/>
      <c r="D11" s="56"/>
      <c r="E11" s="57"/>
      <c r="F11" s="57"/>
      <c r="G11" s="57"/>
      <c r="H11" s="57"/>
      <c r="I11" s="57"/>
      <c r="J11" s="57"/>
      <c r="K11" s="51"/>
      <c r="L11" s="58"/>
      <c r="M11" s="56"/>
      <c r="N11" s="57"/>
      <c r="O11" s="57"/>
      <c r="P11" s="57"/>
      <c r="Q11" s="57"/>
      <c r="R11" s="57"/>
      <c r="S11" s="57"/>
      <c r="T11" s="51"/>
      <c r="U11" s="74"/>
      <c r="V11" s="45"/>
      <c r="W11" s="56"/>
      <c r="X11" s="57"/>
      <c r="Y11" s="57"/>
      <c r="Z11" s="57"/>
      <c r="AA11" s="57"/>
      <c r="AB11" s="57"/>
      <c r="AC11" s="57"/>
      <c r="AD11" s="51"/>
      <c r="AE11" s="65"/>
      <c r="AF11" s="56"/>
      <c r="AG11" s="57"/>
      <c r="AH11" s="57"/>
      <c r="AI11" s="57"/>
      <c r="AJ11" s="57"/>
      <c r="AK11" s="57"/>
      <c r="AL11" s="57"/>
      <c r="AM11" s="51"/>
      <c r="AN11" s="74"/>
      <c r="AO11" s="45"/>
      <c r="AP11" s="56"/>
      <c r="AQ11" s="57"/>
      <c r="AR11" s="57"/>
      <c r="AS11" s="57"/>
      <c r="AT11" s="57"/>
      <c r="AU11" s="57"/>
      <c r="AV11" s="57"/>
      <c r="AW11" s="51"/>
    </row>
    <row r="12" spans="1:49">
      <c r="A12" s="12" t="str">
        <f>Roster!A12</f>
        <v/>
      </c>
      <c r="B12" s="28">
        <f>Roster!C12</f>
        <v>0</v>
      </c>
      <c r="C12" s="55"/>
      <c r="D12" s="56"/>
      <c r="E12" s="57"/>
      <c r="F12" s="57"/>
      <c r="G12" s="57"/>
      <c r="H12" s="57"/>
      <c r="I12" s="57"/>
      <c r="J12" s="57"/>
      <c r="K12" s="51"/>
      <c r="L12" s="58"/>
      <c r="M12" s="56"/>
      <c r="N12" s="57"/>
      <c r="O12" s="57"/>
      <c r="P12" s="57"/>
      <c r="Q12" s="57"/>
      <c r="R12" s="57"/>
      <c r="S12" s="57"/>
      <c r="T12" s="51"/>
      <c r="U12" s="74"/>
      <c r="V12" s="45"/>
      <c r="W12" s="56"/>
      <c r="X12" s="57"/>
      <c r="Y12" s="57"/>
      <c r="Z12" s="57"/>
      <c r="AA12" s="57"/>
      <c r="AB12" s="57"/>
      <c r="AC12" s="57"/>
      <c r="AD12" s="51"/>
      <c r="AE12" s="65"/>
      <c r="AF12" s="56"/>
      <c r="AG12" s="57"/>
      <c r="AH12" s="57"/>
      <c r="AI12" s="57"/>
      <c r="AJ12" s="57"/>
      <c r="AK12" s="57"/>
      <c r="AL12" s="57"/>
      <c r="AM12" s="51"/>
      <c r="AN12" s="74"/>
      <c r="AO12" s="45"/>
      <c r="AP12" s="56"/>
      <c r="AQ12" s="57"/>
      <c r="AR12" s="57"/>
      <c r="AS12" s="57"/>
      <c r="AT12" s="57"/>
      <c r="AU12" s="57"/>
      <c r="AV12" s="57"/>
      <c r="AW12" s="51"/>
    </row>
    <row r="13" spans="1:49">
      <c r="A13" s="12" t="str">
        <f>Roster!A13</f>
        <v/>
      </c>
      <c r="B13" s="28">
        <f>Roster!C13</f>
        <v>0</v>
      </c>
      <c r="C13" s="55"/>
      <c r="D13" s="56"/>
      <c r="E13" s="57"/>
      <c r="F13" s="57"/>
      <c r="G13" s="57"/>
      <c r="H13" s="57"/>
      <c r="I13" s="57"/>
      <c r="J13" s="57"/>
      <c r="K13" s="51"/>
      <c r="L13" s="58"/>
      <c r="M13" s="56"/>
      <c r="N13" s="57"/>
      <c r="O13" s="57"/>
      <c r="P13" s="57"/>
      <c r="Q13" s="57"/>
      <c r="R13" s="57"/>
      <c r="S13" s="57"/>
      <c r="T13" s="51"/>
      <c r="U13" s="74"/>
      <c r="V13" s="45"/>
      <c r="W13" s="56"/>
      <c r="X13" s="57"/>
      <c r="Y13" s="57"/>
      <c r="Z13" s="57"/>
      <c r="AA13" s="57"/>
      <c r="AB13" s="57"/>
      <c r="AC13" s="57"/>
      <c r="AD13" s="51"/>
      <c r="AE13" s="65"/>
      <c r="AF13" s="56"/>
      <c r="AG13" s="57"/>
      <c r="AH13" s="57"/>
      <c r="AI13" s="57"/>
      <c r="AJ13" s="57"/>
      <c r="AK13" s="57"/>
      <c r="AL13" s="57"/>
      <c r="AM13" s="51"/>
      <c r="AN13" s="74"/>
      <c r="AO13" s="45"/>
      <c r="AP13" s="56"/>
      <c r="AQ13" s="57"/>
      <c r="AR13" s="57"/>
      <c r="AS13" s="57"/>
      <c r="AT13" s="57"/>
      <c r="AU13" s="57"/>
      <c r="AV13" s="57"/>
      <c r="AW13" s="51"/>
    </row>
    <row r="14" spans="1:49">
      <c r="A14" s="12" t="str">
        <f>Roster!A14</f>
        <v/>
      </c>
      <c r="B14" s="28">
        <f>Roster!C14</f>
        <v>0</v>
      </c>
      <c r="C14" s="55"/>
      <c r="D14" s="56"/>
      <c r="E14" s="57"/>
      <c r="F14" s="57"/>
      <c r="G14" s="57"/>
      <c r="H14" s="57"/>
      <c r="I14" s="57"/>
      <c r="J14" s="57"/>
      <c r="K14" s="51"/>
      <c r="L14" s="58"/>
      <c r="M14" s="56"/>
      <c r="N14" s="57"/>
      <c r="O14" s="57"/>
      <c r="P14" s="57"/>
      <c r="Q14" s="57"/>
      <c r="R14" s="57"/>
      <c r="S14" s="57"/>
      <c r="T14" s="51"/>
      <c r="U14" s="74"/>
      <c r="V14" s="45"/>
      <c r="W14" s="56"/>
      <c r="X14" s="57"/>
      <c r="Y14" s="57"/>
      <c r="Z14" s="57"/>
      <c r="AA14" s="57"/>
      <c r="AB14" s="57"/>
      <c r="AC14" s="57"/>
      <c r="AD14" s="51"/>
      <c r="AE14" s="65"/>
      <c r="AF14" s="56"/>
      <c r="AG14" s="57"/>
      <c r="AH14" s="57"/>
      <c r="AI14" s="57"/>
      <c r="AJ14" s="57"/>
      <c r="AK14" s="57"/>
      <c r="AL14" s="57"/>
      <c r="AM14" s="51"/>
      <c r="AN14" s="74"/>
      <c r="AO14" s="45"/>
      <c r="AP14" s="56"/>
      <c r="AQ14" s="57"/>
      <c r="AR14" s="57"/>
      <c r="AS14" s="57"/>
      <c r="AT14" s="57"/>
      <c r="AU14" s="57"/>
      <c r="AV14" s="57"/>
      <c r="AW14" s="51"/>
    </row>
    <row r="15" spans="1:49">
      <c r="A15" s="12" t="str">
        <f>Roster!A15</f>
        <v/>
      </c>
      <c r="B15" s="28">
        <f>Roster!C15</f>
        <v>0</v>
      </c>
      <c r="C15" s="55"/>
      <c r="D15" s="56"/>
      <c r="E15" s="57"/>
      <c r="F15" s="57"/>
      <c r="G15" s="57"/>
      <c r="H15" s="57"/>
      <c r="I15" s="57"/>
      <c r="J15" s="57"/>
      <c r="K15" s="51"/>
      <c r="L15" s="58"/>
      <c r="M15" s="56"/>
      <c r="N15" s="57"/>
      <c r="O15" s="57"/>
      <c r="P15" s="57"/>
      <c r="Q15" s="57"/>
      <c r="R15" s="57"/>
      <c r="S15" s="57"/>
      <c r="T15" s="51"/>
      <c r="U15" s="74"/>
      <c r="V15" s="45"/>
      <c r="W15" s="56"/>
      <c r="X15" s="57"/>
      <c r="Y15" s="57"/>
      <c r="Z15" s="57"/>
      <c r="AA15" s="57"/>
      <c r="AB15" s="57"/>
      <c r="AC15" s="57"/>
      <c r="AD15" s="51"/>
      <c r="AE15" s="65"/>
      <c r="AF15" s="56"/>
      <c r="AG15" s="57"/>
      <c r="AH15" s="57"/>
      <c r="AI15" s="57"/>
      <c r="AJ15" s="57"/>
      <c r="AK15" s="57"/>
      <c r="AL15" s="57"/>
      <c r="AM15" s="51"/>
      <c r="AN15" s="74"/>
      <c r="AO15" s="45"/>
      <c r="AP15" s="56"/>
      <c r="AQ15" s="57"/>
      <c r="AR15" s="57"/>
      <c r="AS15" s="57"/>
      <c r="AT15" s="57"/>
      <c r="AU15" s="57"/>
      <c r="AV15" s="57"/>
      <c r="AW15" s="51"/>
    </row>
    <row r="16" spans="1:49">
      <c r="A16" s="12" t="str">
        <f>Roster!A16</f>
        <v/>
      </c>
      <c r="B16" s="28">
        <f>Roster!C16</f>
        <v>0</v>
      </c>
      <c r="C16" s="55"/>
      <c r="D16" s="56"/>
      <c r="E16" s="57"/>
      <c r="F16" s="57"/>
      <c r="G16" s="57"/>
      <c r="H16" s="57"/>
      <c r="I16" s="57"/>
      <c r="J16" s="57"/>
      <c r="K16" s="51"/>
      <c r="L16" s="58"/>
      <c r="M16" s="56"/>
      <c r="N16" s="57"/>
      <c r="O16" s="57"/>
      <c r="P16" s="57"/>
      <c r="Q16" s="57"/>
      <c r="R16" s="57"/>
      <c r="S16" s="57"/>
      <c r="T16" s="51"/>
      <c r="U16" s="74"/>
      <c r="V16" s="45"/>
      <c r="W16" s="56"/>
      <c r="X16" s="57"/>
      <c r="Y16" s="57"/>
      <c r="Z16" s="57"/>
      <c r="AA16" s="57"/>
      <c r="AB16" s="57"/>
      <c r="AC16" s="57"/>
      <c r="AD16" s="51"/>
      <c r="AE16" s="65"/>
      <c r="AF16" s="56"/>
      <c r="AG16" s="57"/>
      <c r="AH16" s="57"/>
      <c r="AI16" s="57"/>
      <c r="AJ16" s="57"/>
      <c r="AK16" s="57"/>
      <c r="AL16" s="57"/>
      <c r="AM16" s="51"/>
      <c r="AN16" s="74"/>
      <c r="AO16" s="45"/>
      <c r="AP16" s="56"/>
      <c r="AQ16" s="57"/>
      <c r="AR16" s="57"/>
      <c r="AS16" s="57"/>
      <c r="AT16" s="57"/>
      <c r="AU16" s="57"/>
      <c r="AV16" s="57"/>
      <c r="AW16" s="51"/>
    </row>
    <row r="17" spans="1:49">
      <c r="A17" s="12" t="str">
        <f>Roster!A17</f>
        <v/>
      </c>
      <c r="B17" s="28">
        <f>Roster!C17</f>
        <v>0</v>
      </c>
      <c r="C17" s="55"/>
      <c r="D17" s="56"/>
      <c r="E17" s="57"/>
      <c r="F17" s="57"/>
      <c r="G17" s="57"/>
      <c r="H17" s="57"/>
      <c r="I17" s="57"/>
      <c r="J17" s="57"/>
      <c r="K17" s="51"/>
      <c r="L17" s="58"/>
      <c r="M17" s="56"/>
      <c r="N17" s="57"/>
      <c r="O17" s="57"/>
      <c r="P17" s="57"/>
      <c r="Q17" s="57"/>
      <c r="R17" s="57"/>
      <c r="S17" s="57"/>
      <c r="T17" s="51"/>
      <c r="U17" s="74"/>
      <c r="V17" s="45"/>
      <c r="W17" s="56"/>
      <c r="X17" s="57"/>
      <c r="Y17" s="57"/>
      <c r="Z17" s="57"/>
      <c r="AA17" s="57"/>
      <c r="AB17" s="57"/>
      <c r="AC17" s="57"/>
      <c r="AD17" s="51"/>
      <c r="AE17" s="65"/>
      <c r="AF17" s="56"/>
      <c r="AG17" s="57"/>
      <c r="AH17" s="57"/>
      <c r="AI17" s="57"/>
      <c r="AJ17" s="57"/>
      <c r="AK17" s="57"/>
      <c r="AL17" s="57"/>
      <c r="AM17" s="51"/>
      <c r="AN17" s="74"/>
      <c r="AO17" s="45"/>
      <c r="AP17" s="56"/>
      <c r="AQ17" s="57"/>
      <c r="AR17" s="57"/>
      <c r="AS17" s="57"/>
      <c r="AT17" s="57"/>
      <c r="AU17" s="57"/>
      <c r="AV17" s="57"/>
      <c r="AW17" s="51"/>
    </row>
    <row r="18" spans="1:49">
      <c r="A18" s="12" t="str">
        <f>Roster!A18</f>
        <v/>
      </c>
      <c r="B18" s="28">
        <f>Roster!C18</f>
        <v>0</v>
      </c>
      <c r="C18" s="55"/>
      <c r="D18" s="56"/>
      <c r="E18" s="57"/>
      <c r="F18" s="57"/>
      <c r="G18" s="57"/>
      <c r="H18" s="57"/>
      <c r="I18" s="57"/>
      <c r="J18" s="57"/>
      <c r="K18" s="51"/>
      <c r="L18" s="58"/>
      <c r="M18" s="56"/>
      <c r="N18" s="57"/>
      <c r="O18" s="57"/>
      <c r="P18" s="57"/>
      <c r="Q18" s="57"/>
      <c r="R18" s="57"/>
      <c r="S18" s="57"/>
      <c r="T18" s="51"/>
      <c r="U18" s="74"/>
      <c r="V18" s="45"/>
      <c r="W18" s="56"/>
      <c r="X18" s="57"/>
      <c r="Y18" s="57"/>
      <c r="Z18" s="57"/>
      <c r="AA18" s="57"/>
      <c r="AB18" s="57"/>
      <c r="AC18" s="57"/>
      <c r="AD18" s="51"/>
      <c r="AE18" s="65"/>
      <c r="AF18" s="56"/>
      <c r="AG18" s="57"/>
      <c r="AH18" s="57"/>
      <c r="AI18" s="57"/>
      <c r="AJ18" s="57"/>
      <c r="AK18" s="57"/>
      <c r="AL18" s="57"/>
      <c r="AM18" s="51"/>
      <c r="AN18" s="74"/>
      <c r="AO18" s="45"/>
      <c r="AP18" s="56"/>
      <c r="AQ18" s="57"/>
      <c r="AR18" s="57"/>
      <c r="AS18" s="57"/>
      <c r="AT18" s="57"/>
      <c r="AU18" s="57"/>
      <c r="AV18" s="57"/>
      <c r="AW18" s="51"/>
    </row>
    <row r="19" spans="1:49">
      <c r="A19" s="12" t="str">
        <f>Roster!A19</f>
        <v/>
      </c>
      <c r="B19" s="28">
        <f>Roster!C19</f>
        <v>0</v>
      </c>
      <c r="C19" s="55"/>
      <c r="D19" s="56"/>
      <c r="E19" s="57"/>
      <c r="F19" s="57"/>
      <c r="G19" s="57"/>
      <c r="H19" s="57"/>
      <c r="I19" s="57"/>
      <c r="J19" s="57"/>
      <c r="K19" s="51"/>
      <c r="L19" s="58"/>
      <c r="M19" s="56"/>
      <c r="N19" s="57"/>
      <c r="O19" s="57"/>
      <c r="P19" s="57"/>
      <c r="Q19" s="57"/>
      <c r="R19" s="57"/>
      <c r="S19" s="57"/>
      <c r="T19" s="51"/>
      <c r="U19" s="74"/>
      <c r="V19" s="45"/>
      <c r="W19" s="56"/>
      <c r="X19" s="57"/>
      <c r="Y19" s="57"/>
      <c r="Z19" s="57"/>
      <c r="AA19" s="57"/>
      <c r="AB19" s="57"/>
      <c r="AC19" s="57"/>
      <c r="AD19" s="51"/>
      <c r="AE19" s="65"/>
      <c r="AF19" s="56"/>
      <c r="AG19" s="57"/>
      <c r="AH19" s="57"/>
      <c r="AI19" s="57"/>
      <c r="AJ19" s="57"/>
      <c r="AK19" s="57"/>
      <c r="AL19" s="57"/>
      <c r="AM19" s="51"/>
      <c r="AN19" s="74"/>
      <c r="AO19" s="45"/>
      <c r="AP19" s="56"/>
      <c r="AQ19" s="57"/>
      <c r="AR19" s="57"/>
      <c r="AS19" s="57"/>
      <c r="AT19" s="57"/>
      <c r="AU19" s="57"/>
      <c r="AV19" s="57"/>
      <c r="AW19" s="51"/>
    </row>
    <row r="20" spans="1:49">
      <c r="A20" s="12" t="str">
        <f>Roster!A20</f>
        <v/>
      </c>
      <c r="B20" s="28">
        <f>Roster!C20</f>
        <v>0</v>
      </c>
      <c r="C20" s="55"/>
      <c r="D20" s="56"/>
      <c r="E20" s="57"/>
      <c r="F20" s="57"/>
      <c r="G20" s="57"/>
      <c r="H20" s="57"/>
      <c r="I20" s="57"/>
      <c r="J20" s="57"/>
      <c r="K20" s="51"/>
      <c r="L20" s="58"/>
      <c r="M20" s="56"/>
      <c r="N20" s="57"/>
      <c r="O20" s="57"/>
      <c r="P20" s="57"/>
      <c r="Q20" s="57"/>
      <c r="R20" s="57"/>
      <c r="S20" s="57"/>
      <c r="T20" s="51"/>
      <c r="U20" s="74"/>
      <c r="V20" s="45"/>
      <c r="W20" s="56"/>
      <c r="X20" s="57"/>
      <c r="Y20" s="57"/>
      <c r="Z20" s="57"/>
      <c r="AA20" s="57"/>
      <c r="AB20" s="57"/>
      <c r="AC20" s="57"/>
      <c r="AD20" s="51"/>
      <c r="AE20" s="65"/>
      <c r="AF20" s="56"/>
      <c r="AG20" s="57"/>
      <c r="AH20" s="57"/>
      <c r="AI20" s="57"/>
      <c r="AJ20" s="57"/>
      <c r="AK20" s="57"/>
      <c r="AL20" s="57"/>
      <c r="AM20" s="51"/>
      <c r="AN20" s="74"/>
      <c r="AO20" s="45"/>
      <c r="AP20" s="56"/>
      <c r="AQ20" s="57"/>
      <c r="AR20" s="57"/>
      <c r="AS20" s="57"/>
      <c r="AT20" s="57"/>
      <c r="AU20" s="57"/>
      <c r="AV20" s="57"/>
      <c r="AW20" s="51"/>
    </row>
    <row r="21" spans="1:49">
      <c r="A21" s="12" t="str">
        <f>Roster!A21</f>
        <v/>
      </c>
      <c r="B21" s="28">
        <f>Roster!C21</f>
        <v>0</v>
      </c>
      <c r="C21" s="55"/>
      <c r="D21" s="56"/>
      <c r="E21" s="57"/>
      <c r="F21" s="57"/>
      <c r="G21" s="57"/>
      <c r="H21" s="57"/>
      <c r="I21" s="57"/>
      <c r="J21" s="57"/>
      <c r="K21" s="51"/>
      <c r="L21" s="58"/>
      <c r="M21" s="56"/>
      <c r="N21" s="57"/>
      <c r="O21" s="57"/>
      <c r="P21" s="57"/>
      <c r="Q21" s="57"/>
      <c r="R21" s="57"/>
      <c r="S21" s="57"/>
      <c r="T21" s="51"/>
      <c r="U21" s="74"/>
      <c r="V21" s="45"/>
      <c r="W21" s="56"/>
      <c r="X21" s="57"/>
      <c r="Y21" s="57"/>
      <c r="Z21" s="57"/>
      <c r="AA21" s="57"/>
      <c r="AB21" s="57"/>
      <c r="AC21" s="57"/>
      <c r="AD21" s="51"/>
      <c r="AE21" s="65"/>
      <c r="AF21" s="56"/>
      <c r="AG21" s="57"/>
      <c r="AH21" s="57"/>
      <c r="AI21" s="57"/>
      <c r="AJ21" s="57"/>
      <c r="AK21" s="57"/>
      <c r="AL21" s="57"/>
      <c r="AM21" s="51"/>
      <c r="AN21" s="74"/>
      <c r="AO21" s="45"/>
      <c r="AP21" s="56"/>
      <c r="AQ21" s="57"/>
      <c r="AR21" s="57"/>
      <c r="AS21" s="57"/>
      <c r="AT21" s="57"/>
      <c r="AU21" s="57"/>
      <c r="AV21" s="57"/>
      <c r="AW21" s="51"/>
    </row>
    <row r="22" spans="1:49">
      <c r="A22" s="12" t="str">
        <f>Roster!A22</f>
        <v/>
      </c>
      <c r="B22" s="28">
        <f>Roster!C22</f>
        <v>0</v>
      </c>
      <c r="C22" s="55"/>
      <c r="D22" s="56"/>
      <c r="E22" s="57"/>
      <c r="F22" s="57"/>
      <c r="G22" s="57"/>
      <c r="H22" s="57"/>
      <c r="I22" s="57"/>
      <c r="J22" s="57"/>
      <c r="K22" s="51"/>
      <c r="L22" s="58"/>
      <c r="M22" s="56"/>
      <c r="N22" s="57"/>
      <c r="O22" s="57"/>
      <c r="P22" s="57"/>
      <c r="Q22" s="57"/>
      <c r="R22" s="57"/>
      <c r="S22" s="57"/>
      <c r="T22" s="51"/>
      <c r="U22" s="74"/>
      <c r="V22" s="45"/>
      <c r="W22" s="56"/>
      <c r="X22" s="57"/>
      <c r="Y22" s="57"/>
      <c r="Z22" s="57"/>
      <c r="AA22" s="57"/>
      <c r="AB22" s="57"/>
      <c r="AC22" s="57"/>
      <c r="AD22" s="51"/>
      <c r="AE22" s="65"/>
      <c r="AF22" s="56"/>
      <c r="AG22" s="57"/>
      <c r="AH22" s="57"/>
      <c r="AI22" s="57"/>
      <c r="AJ22" s="57"/>
      <c r="AK22" s="57"/>
      <c r="AL22" s="57"/>
      <c r="AM22" s="51"/>
      <c r="AN22" s="74"/>
      <c r="AO22" s="45"/>
      <c r="AP22" s="56"/>
      <c r="AQ22" s="57"/>
      <c r="AR22" s="57"/>
      <c r="AS22" s="57"/>
      <c r="AT22" s="57"/>
      <c r="AU22" s="57"/>
      <c r="AV22" s="57"/>
      <c r="AW22" s="51"/>
    </row>
    <row r="23" spans="1:49">
      <c r="A23" s="12" t="str">
        <f>Roster!A23</f>
        <v/>
      </c>
      <c r="B23" s="28">
        <f>Roster!C23</f>
        <v>0</v>
      </c>
      <c r="C23" s="55"/>
      <c r="D23" s="56"/>
      <c r="E23" s="57"/>
      <c r="F23" s="57"/>
      <c r="G23" s="57"/>
      <c r="H23" s="57"/>
      <c r="I23" s="57"/>
      <c r="J23" s="57"/>
      <c r="K23" s="51"/>
      <c r="L23" s="58"/>
      <c r="M23" s="56"/>
      <c r="N23" s="57"/>
      <c r="O23" s="57"/>
      <c r="P23" s="57"/>
      <c r="Q23" s="57"/>
      <c r="R23" s="57"/>
      <c r="S23" s="57"/>
      <c r="T23" s="51"/>
      <c r="U23" s="74"/>
      <c r="V23" s="45"/>
      <c r="W23" s="56"/>
      <c r="X23" s="57"/>
      <c r="Y23" s="57"/>
      <c r="Z23" s="57"/>
      <c r="AA23" s="57"/>
      <c r="AB23" s="57"/>
      <c r="AC23" s="57"/>
      <c r="AD23" s="51"/>
      <c r="AE23" s="65"/>
      <c r="AF23" s="56"/>
      <c r="AG23" s="57"/>
      <c r="AH23" s="57"/>
      <c r="AI23" s="57"/>
      <c r="AJ23" s="57"/>
      <c r="AK23" s="57"/>
      <c r="AL23" s="57"/>
      <c r="AM23" s="51"/>
      <c r="AN23" s="74"/>
      <c r="AO23" s="45"/>
      <c r="AP23" s="56"/>
      <c r="AQ23" s="57"/>
      <c r="AR23" s="57"/>
      <c r="AS23" s="57"/>
      <c r="AT23" s="57"/>
      <c r="AU23" s="57"/>
      <c r="AV23" s="57"/>
      <c r="AW23" s="51"/>
    </row>
    <row r="24" spans="1:49">
      <c r="A24" s="12" t="str">
        <f>Roster!A24</f>
        <v/>
      </c>
      <c r="B24" s="28">
        <f>Roster!C24</f>
        <v>0</v>
      </c>
      <c r="C24" s="55"/>
      <c r="D24" s="56"/>
      <c r="E24" s="57"/>
      <c r="F24" s="57"/>
      <c r="G24" s="57"/>
      <c r="H24" s="57"/>
      <c r="I24" s="57"/>
      <c r="J24" s="57"/>
      <c r="K24" s="51"/>
      <c r="L24" s="58"/>
      <c r="M24" s="56"/>
      <c r="N24" s="57"/>
      <c r="O24" s="57"/>
      <c r="P24" s="57"/>
      <c r="Q24" s="57"/>
      <c r="R24" s="57"/>
      <c r="S24" s="57"/>
      <c r="T24" s="51"/>
      <c r="U24" s="74"/>
      <c r="V24" s="45"/>
      <c r="W24" s="56"/>
      <c r="X24" s="57"/>
      <c r="Y24" s="57"/>
      <c r="Z24" s="57"/>
      <c r="AA24" s="57"/>
      <c r="AB24" s="57"/>
      <c r="AC24" s="57"/>
      <c r="AD24" s="51"/>
      <c r="AE24" s="65"/>
      <c r="AF24" s="56"/>
      <c r="AG24" s="57"/>
      <c r="AH24" s="57"/>
      <c r="AI24" s="57"/>
      <c r="AJ24" s="57"/>
      <c r="AK24" s="57"/>
      <c r="AL24" s="57"/>
      <c r="AM24" s="51"/>
      <c r="AN24" s="74"/>
      <c r="AO24" s="45"/>
      <c r="AP24" s="56"/>
      <c r="AQ24" s="57"/>
      <c r="AR24" s="57"/>
      <c r="AS24" s="57"/>
      <c r="AT24" s="57"/>
      <c r="AU24" s="57"/>
      <c r="AV24" s="57"/>
      <c r="AW24" s="51"/>
    </row>
    <row r="25" spans="1:49">
      <c r="A25" s="12" t="str">
        <f>Roster!A25</f>
        <v/>
      </c>
      <c r="B25" s="28">
        <f>Roster!C25</f>
        <v>0</v>
      </c>
      <c r="C25" s="55"/>
      <c r="D25" s="56"/>
      <c r="E25" s="57"/>
      <c r="F25" s="57"/>
      <c r="G25" s="57"/>
      <c r="H25" s="57"/>
      <c r="I25" s="57"/>
      <c r="J25" s="57"/>
      <c r="K25" s="51"/>
      <c r="L25" s="58"/>
      <c r="M25" s="56"/>
      <c r="N25" s="57"/>
      <c r="O25" s="57"/>
      <c r="P25" s="57"/>
      <c r="Q25" s="57"/>
      <c r="R25" s="57"/>
      <c r="S25" s="57"/>
      <c r="T25" s="51"/>
      <c r="U25" s="74"/>
      <c r="V25" s="45"/>
      <c r="W25" s="56"/>
      <c r="X25" s="57"/>
      <c r="Y25" s="57"/>
      <c r="Z25" s="57"/>
      <c r="AA25" s="57"/>
      <c r="AB25" s="57"/>
      <c r="AC25" s="57"/>
      <c r="AD25" s="51"/>
      <c r="AE25" s="65"/>
      <c r="AF25" s="56"/>
      <c r="AG25" s="57"/>
      <c r="AH25" s="57"/>
      <c r="AI25" s="57"/>
      <c r="AJ25" s="57"/>
      <c r="AK25" s="57"/>
      <c r="AL25" s="57"/>
      <c r="AM25" s="51"/>
      <c r="AN25" s="74"/>
      <c r="AO25" s="45"/>
      <c r="AP25" s="56"/>
      <c r="AQ25" s="57"/>
      <c r="AR25" s="57"/>
      <c r="AS25" s="57"/>
      <c r="AT25" s="57"/>
      <c r="AU25" s="57"/>
      <c r="AV25" s="57"/>
      <c r="AW25" s="51"/>
    </row>
    <row r="26" spans="1:49">
      <c r="A26" s="12" t="str">
        <f>Roster!A26</f>
        <v/>
      </c>
      <c r="B26" s="28">
        <f>Roster!C26</f>
        <v>0</v>
      </c>
      <c r="C26" s="55"/>
      <c r="D26" s="56"/>
      <c r="E26" s="57"/>
      <c r="F26" s="57"/>
      <c r="G26" s="57"/>
      <c r="H26" s="57"/>
      <c r="I26" s="57"/>
      <c r="J26" s="57"/>
      <c r="K26" s="51"/>
      <c r="L26" s="58"/>
      <c r="M26" s="56"/>
      <c r="N26" s="57"/>
      <c r="O26" s="57"/>
      <c r="P26" s="57"/>
      <c r="Q26" s="57"/>
      <c r="R26" s="57"/>
      <c r="S26" s="57"/>
      <c r="T26" s="51"/>
      <c r="U26" s="74"/>
      <c r="V26" s="45"/>
      <c r="W26" s="56"/>
      <c r="X26" s="57"/>
      <c r="Y26" s="57"/>
      <c r="Z26" s="57"/>
      <c r="AA26" s="57"/>
      <c r="AB26" s="57"/>
      <c r="AC26" s="57"/>
      <c r="AD26" s="51"/>
      <c r="AE26" s="65"/>
      <c r="AF26" s="56"/>
      <c r="AG26" s="57"/>
      <c r="AH26" s="57"/>
      <c r="AI26" s="57"/>
      <c r="AJ26" s="57"/>
      <c r="AK26" s="57"/>
      <c r="AL26" s="57"/>
      <c r="AM26" s="51"/>
      <c r="AN26" s="74"/>
      <c r="AO26" s="45"/>
      <c r="AP26" s="56"/>
      <c r="AQ26" s="57"/>
      <c r="AR26" s="57"/>
      <c r="AS26" s="57"/>
      <c r="AT26" s="57"/>
      <c r="AU26" s="57"/>
      <c r="AV26" s="57"/>
      <c r="AW26" s="51"/>
    </row>
    <row r="27" spans="1:49">
      <c r="A27" s="12" t="str">
        <f>Roster!A27</f>
        <v/>
      </c>
      <c r="B27" s="28">
        <f>Roster!C27</f>
        <v>0</v>
      </c>
      <c r="C27" s="55"/>
      <c r="D27" s="56"/>
      <c r="E27" s="57"/>
      <c r="F27" s="57"/>
      <c r="G27" s="57"/>
      <c r="H27" s="57"/>
      <c r="I27" s="57"/>
      <c r="J27" s="57"/>
      <c r="K27" s="51"/>
      <c r="L27" s="58"/>
      <c r="M27" s="56"/>
      <c r="N27" s="57"/>
      <c r="O27" s="57"/>
      <c r="P27" s="57"/>
      <c r="Q27" s="57"/>
      <c r="R27" s="57"/>
      <c r="S27" s="57"/>
      <c r="T27" s="51"/>
      <c r="U27" s="74"/>
      <c r="V27" s="45"/>
      <c r="W27" s="56"/>
      <c r="X27" s="57"/>
      <c r="Y27" s="57"/>
      <c r="Z27" s="57"/>
      <c r="AA27" s="57"/>
      <c r="AB27" s="57"/>
      <c r="AC27" s="57"/>
      <c r="AD27" s="51"/>
      <c r="AE27" s="65"/>
      <c r="AF27" s="56"/>
      <c r="AG27" s="57"/>
      <c r="AH27" s="57"/>
      <c r="AI27" s="57"/>
      <c r="AJ27" s="57"/>
      <c r="AK27" s="57"/>
      <c r="AL27" s="57"/>
      <c r="AM27" s="51"/>
      <c r="AN27" s="74"/>
      <c r="AO27" s="45"/>
      <c r="AP27" s="56"/>
      <c r="AQ27" s="57"/>
      <c r="AR27" s="57"/>
      <c r="AS27" s="57"/>
      <c r="AT27" s="57"/>
      <c r="AU27" s="57"/>
      <c r="AV27" s="57"/>
      <c r="AW27" s="51"/>
    </row>
    <row r="28" spans="1:49">
      <c r="A28" s="12" t="str">
        <f>Roster!A28</f>
        <v/>
      </c>
      <c r="B28" s="28">
        <f>Roster!C28</f>
        <v>0</v>
      </c>
      <c r="C28" s="55"/>
      <c r="D28" s="56"/>
      <c r="E28" s="57"/>
      <c r="F28" s="57"/>
      <c r="G28" s="57"/>
      <c r="H28" s="57"/>
      <c r="I28" s="57"/>
      <c r="J28" s="57"/>
      <c r="K28" s="51"/>
      <c r="L28" s="58"/>
      <c r="M28" s="56"/>
      <c r="N28" s="57"/>
      <c r="O28" s="57"/>
      <c r="P28" s="57"/>
      <c r="Q28" s="57"/>
      <c r="R28" s="57"/>
      <c r="S28" s="57"/>
      <c r="T28" s="51"/>
      <c r="U28" s="74"/>
      <c r="V28" s="45"/>
      <c r="W28" s="56"/>
      <c r="X28" s="57"/>
      <c r="Y28" s="57"/>
      <c r="Z28" s="57"/>
      <c r="AA28" s="57"/>
      <c r="AB28" s="57"/>
      <c r="AC28" s="57"/>
      <c r="AD28" s="51"/>
      <c r="AE28" s="65"/>
      <c r="AF28" s="56"/>
      <c r="AG28" s="57"/>
      <c r="AH28" s="57"/>
      <c r="AI28" s="57"/>
      <c r="AJ28" s="57"/>
      <c r="AK28" s="57"/>
      <c r="AL28" s="57"/>
      <c r="AM28" s="51"/>
      <c r="AN28" s="74"/>
      <c r="AO28" s="45"/>
      <c r="AP28" s="56"/>
      <c r="AQ28" s="57"/>
      <c r="AR28" s="57"/>
      <c r="AS28" s="57"/>
      <c r="AT28" s="57"/>
      <c r="AU28" s="57"/>
      <c r="AV28" s="57"/>
      <c r="AW28" s="51"/>
    </row>
    <row r="29" spans="1:49">
      <c r="A29" s="12" t="str">
        <f>Roster!A29</f>
        <v/>
      </c>
      <c r="B29" s="28">
        <f>Roster!C29</f>
        <v>0</v>
      </c>
      <c r="C29" s="55"/>
      <c r="D29" s="56"/>
      <c r="E29" s="57"/>
      <c r="F29" s="57"/>
      <c r="G29" s="57"/>
      <c r="H29" s="57"/>
      <c r="I29" s="57"/>
      <c r="J29" s="57"/>
      <c r="K29" s="51"/>
      <c r="L29" s="58"/>
      <c r="M29" s="56"/>
      <c r="N29" s="57"/>
      <c r="O29" s="57"/>
      <c r="P29" s="57"/>
      <c r="Q29" s="57"/>
      <c r="R29" s="57"/>
      <c r="S29" s="57"/>
      <c r="T29" s="51"/>
      <c r="U29" s="74"/>
      <c r="V29" s="45"/>
      <c r="W29" s="56"/>
      <c r="X29" s="57"/>
      <c r="Y29" s="57"/>
      <c r="Z29" s="57"/>
      <c r="AA29" s="57"/>
      <c r="AB29" s="57"/>
      <c r="AC29" s="57"/>
      <c r="AD29" s="51"/>
      <c r="AE29" s="65"/>
      <c r="AF29" s="56"/>
      <c r="AG29" s="57"/>
      <c r="AH29" s="57"/>
      <c r="AI29" s="57"/>
      <c r="AJ29" s="57"/>
      <c r="AK29" s="57"/>
      <c r="AL29" s="57"/>
      <c r="AM29" s="51"/>
      <c r="AN29" s="74"/>
      <c r="AO29" s="45"/>
      <c r="AP29" s="56"/>
      <c r="AQ29" s="57"/>
      <c r="AR29" s="57"/>
      <c r="AS29" s="57"/>
      <c r="AT29" s="57"/>
      <c r="AU29" s="57"/>
      <c r="AV29" s="57"/>
      <c r="AW29" s="51"/>
    </row>
    <row r="30" spans="1:49">
      <c r="A30" s="12" t="str">
        <f>Roster!A30</f>
        <v/>
      </c>
      <c r="B30" s="28">
        <f>Roster!C30</f>
        <v>0</v>
      </c>
      <c r="C30" s="55"/>
      <c r="D30" s="56"/>
      <c r="E30" s="57"/>
      <c r="F30" s="57"/>
      <c r="G30" s="57"/>
      <c r="H30" s="57"/>
      <c r="I30" s="57"/>
      <c r="J30" s="57"/>
      <c r="K30" s="51"/>
      <c r="L30" s="58"/>
      <c r="M30" s="56"/>
      <c r="N30" s="57"/>
      <c r="O30" s="57"/>
      <c r="P30" s="57"/>
      <c r="Q30" s="57"/>
      <c r="R30" s="57"/>
      <c r="S30" s="57"/>
      <c r="T30" s="51"/>
      <c r="U30" s="74"/>
      <c r="V30" s="45"/>
      <c r="W30" s="56"/>
      <c r="X30" s="57"/>
      <c r="Y30" s="57"/>
      <c r="Z30" s="57"/>
      <c r="AA30" s="57"/>
      <c r="AB30" s="57"/>
      <c r="AC30" s="57"/>
      <c r="AD30" s="51"/>
      <c r="AE30" s="65"/>
      <c r="AF30" s="56"/>
      <c r="AG30" s="57"/>
      <c r="AH30" s="57"/>
      <c r="AI30" s="57"/>
      <c r="AJ30" s="57"/>
      <c r="AK30" s="57"/>
      <c r="AL30" s="57"/>
      <c r="AM30" s="51"/>
      <c r="AN30" s="74"/>
      <c r="AO30" s="45"/>
      <c r="AP30" s="56"/>
      <c r="AQ30" s="57"/>
      <c r="AR30" s="57"/>
      <c r="AS30" s="57"/>
      <c r="AT30" s="57"/>
      <c r="AU30" s="57"/>
      <c r="AV30" s="57"/>
      <c r="AW30" s="51"/>
    </row>
    <row r="31" spans="1:49">
      <c r="A31" s="12" t="str">
        <f>Roster!A31</f>
        <v/>
      </c>
      <c r="B31" s="28">
        <f>Roster!C31</f>
        <v>0</v>
      </c>
      <c r="C31" s="55"/>
      <c r="D31" s="56"/>
      <c r="E31" s="57"/>
      <c r="F31" s="57"/>
      <c r="G31" s="57"/>
      <c r="H31" s="57"/>
      <c r="I31" s="57"/>
      <c r="J31" s="57"/>
      <c r="K31" s="51"/>
      <c r="L31" s="58"/>
      <c r="M31" s="56"/>
      <c r="N31" s="57"/>
      <c r="O31" s="57"/>
      <c r="P31" s="57"/>
      <c r="Q31" s="57"/>
      <c r="R31" s="57"/>
      <c r="S31" s="57"/>
      <c r="T31" s="51"/>
      <c r="U31" s="74"/>
      <c r="V31" s="45"/>
      <c r="W31" s="56"/>
      <c r="X31" s="57"/>
      <c r="Y31" s="57"/>
      <c r="Z31" s="57"/>
      <c r="AA31" s="57"/>
      <c r="AB31" s="57"/>
      <c r="AC31" s="57"/>
      <c r="AD31" s="51"/>
      <c r="AE31" s="65"/>
      <c r="AF31" s="56"/>
      <c r="AG31" s="57"/>
      <c r="AH31" s="57"/>
      <c r="AI31" s="57"/>
      <c r="AJ31" s="57"/>
      <c r="AK31" s="57"/>
      <c r="AL31" s="57"/>
      <c r="AM31" s="51"/>
      <c r="AN31" s="74"/>
      <c r="AO31" s="45"/>
      <c r="AP31" s="56"/>
      <c r="AQ31" s="57"/>
      <c r="AR31" s="57"/>
      <c r="AS31" s="57"/>
      <c r="AT31" s="57"/>
      <c r="AU31" s="57"/>
      <c r="AV31" s="57"/>
      <c r="AW31" s="51"/>
    </row>
    <row r="32" spans="1:49">
      <c r="A32" s="12" t="str">
        <f>Roster!A32</f>
        <v/>
      </c>
      <c r="B32" s="28">
        <f>Roster!C32</f>
        <v>0</v>
      </c>
      <c r="C32" s="55"/>
      <c r="D32" s="56"/>
      <c r="E32" s="57"/>
      <c r="F32" s="57"/>
      <c r="G32" s="57"/>
      <c r="H32" s="57"/>
      <c r="I32" s="57"/>
      <c r="J32" s="57"/>
      <c r="K32" s="51"/>
      <c r="L32" s="58"/>
      <c r="M32" s="56"/>
      <c r="N32" s="57"/>
      <c r="O32" s="57"/>
      <c r="P32" s="57"/>
      <c r="Q32" s="57"/>
      <c r="R32" s="57"/>
      <c r="S32" s="57"/>
      <c r="T32" s="51"/>
      <c r="U32" s="74"/>
      <c r="V32" s="45"/>
      <c r="W32" s="56"/>
      <c r="X32" s="57"/>
      <c r="Y32" s="57"/>
      <c r="Z32" s="57"/>
      <c r="AA32" s="57"/>
      <c r="AB32" s="57"/>
      <c r="AC32" s="57"/>
      <c r="AD32" s="51"/>
      <c r="AE32" s="65"/>
      <c r="AF32" s="56"/>
      <c r="AG32" s="57"/>
      <c r="AH32" s="57"/>
      <c r="AI32" s="57"/>
      <c r="AJ32" s="57"/>
      <c r="AK32" s="57"/>
      <c r="AL32" s="57"/>
      <c r="AM32" s="51"/>
      <c r="AN32" s="74"/>
      <c r="AO32" s="45"/>
      <c r="AP32" s="56"/>
      <c r="AQ32" s="57"/>
      <c r="AR32" s="57"/>
      <c r="AS32" s="57"/>
      <c r="AT32" s="57"/>
      <c r="AU32" s="57"/>
      <c r="AV32" s="57"/>
      <c r="AW32" s="51"/>
    </row>
    <row r="33" spans="1:49">
      <c r="A33" s="12" t="str">
        <f>Roster!A33</f>
        <v/>
      </c>
      <c r="B33" s="28">
        <f>Roster!C33</f>
        <v>0</v>
      </c>
      <c r="C33" s="55"/>
      <c r="D33" s="56"/>
      <c r="E33" s="57"/>
      <c r="F33" s="57"/>
      <c r="G33" s="57"/>
      <c r="H33" s="57"/>
      <c r="I33" s="57"/>
      <c r="J33" s="57"/>
      <c r="K33" s="51"/>
      <c r="L33" s="58"/>
      <c r="M33" s="56"/>
      <c r="N33" s="57"/>
      <c r="O33" s="57"/>
      <c r="P33" s="57"/>
      <c r="Q33" s="57"/>
      <c r="R33" s="57"/>
      <c r="S33" s="57"/>
      <c r="T33" s="51"/>
      <c r="U33" s="74"/>
      <c r="V33" s="45"/>
      <c r="W33" s="56"/>
      <c r="X33" s="57"/>
      <c r="Y33" s="57"/>
      <c r="Z33" s="57"/>
      <c r="AA33" s="57"/>
      <c r="AB33" s="57"/>
      <c r="AC33" s="57"/>
      <c r="AD33" s="51"/>
      <c r="AE33" s="65"/>
      <c r="AF33" s="56"/>
      <c r="AG33" s="57"/>
      <c r="AH33" s="57"/>
      <c r="AI33" s="57"/>
      <c r="AJ33" s="57"/>
      <c r="AK33" s="57"/>
      <c r="AL33" s="57"/>
      <c r="AM33" s="51"/>
      <c r="AN33" s="74"/>
      <c r="AO33" s="45"/>
      <c r="AP33" s="56"/>
      <c r="AQ33" s="57"/>
      <c r="AR33" s="57"/>
      <c r="AS33" s="57"/>
      <c r="AT33" s="57"/>
      <c r="AU33" s="57"/>
      <c r="AV33" s="57"/>
      <c r="AW33" s="51"/>
    </row>
    <row r="34" spans="1:49">
      <c r="A34" s="12" t="str">
        <f>Roster!A34</f>
        <v/>
      </c>
      <c r="B34" s="28">
        <f>Roster!C34</f>
        <v>0</v>
      </c>
      <c r="C34" s="55"/>
      <c r="D34" s="56"/>
      <c r="E34" s="57"/>
      <c r="F34" s="57"/>
      <c r="G34" s="57"/>
      <c r="H34" s="57"/>
      <c r="I34" s="57"/>
      <c r="J34" s="57"/>
      <c r="K34" s="51"/>
      <c r="L34" s="58"/>
      <c r="M34" s="56"/>
      <c r="N34" s="57"/>
      <c r="O34" s="57"/>
      <c r="P34" s="57"/>
      <c r="Q34" s="57"/>
      <c r="R34" s="57"/>
      <c r="S34" s="57"/>
      <c r="T34" s="51"/>
      <c r="U34" s="74"/>
      <c r="V34" s="45"/>
      <c r="W34" s="56"/>
      <c r="X34" s="57"/>
      <c r="Y34" s="57"/>
      <c r="Z34" s="57"/>
      <c r="AA34" s="57"/>
      <c r="AB34" s="57"/>
      <c r="AC34" s="57"/>
      <c r="AD34" s="51"/>
      <c r="AE34" s="65"/>
      <c r="AF34" s="56"/>
      <c r="AG34" s="57"/>
      <c r="AH34" s="57"/>
      <c r="AI34" s="57"/>
      <c r="AJ34" s="57"/>
      <c r="AK34" s="57"/>
      <c r="AL34" s="57"/>
      <c r="AM34" s="51"/>
      <c r="AN34" s="74"/>
      <c r="AO34" s="45"/>
      <c r="AP34" s="56"/>
      <c r="AQ34" s="57"/>
      <c r="AR34" s="57"/>
      <c r="AS34" s="57"/>
      <c r="AT34" s="57"/>
      <c r="AU34" s="57"/>
      <c r="AV34" s="57"/>
      <c r="AW34" s="51"/>
    </row>
    <row r="35" spans="1:49">
      <c r="A35" s="12" t="str">
        <f>Roster!A35</f>
        <v/>
      </c>
      <c r="B35" s="28">
        <f>Roster!C35</f>
        <v>0</v>
      </c>
      <c r="C35" s="55"/>
      <c r="D35" s="56"/>
      <c r="E35" s="57"/>
      <c r="F35" s="57"/>
      <c r="G35" s="57"/>
      <c r="H35" s="57"/>
      <c r="I35" s="57"/>
      <c r="J35" s="57"/>
      <c r="K35" s="51"/>
      <c r="L35" s="58"/>
      <c r="M35" s="56"/>
      <c r="N35" s="57"/>
      <c r="O35" s="57"/>
      <c r="P35" s="57"/>
      <c r="Q35" s="57"/>
      <c r="R35" s="57"/>
      <c r="S35" s="57"/>
      <c r="T35" s="51"/>
      <c r="U35" s="74"/>
      <c r="V35" s="45"/>
      <c r="W35" s="56"/>
      <c r="X35" s="57"/>
      <c r="Y35" s="57"/>
      <c r="Z35" s="57"/>
      <c r="AA35" s="57"/>
      <c r="AB35" s="57"/>
      <c r="AC35" s="57"/>
      <c r="AD35" s="51"/>
      <c r="AE35" s="65"/>
      <c r="AF35" s="56"/>
      <c r="AG35" s="57"/>
      <c r="AH35" s="57"/>
      <c r="AI35" s="57"/>
      <c r="AJ35" s="57"/>
      <c r="AK35" s="57"/>
      <c r="AL35" s="57"/>
      <c r="AM35" s="51"/>
      <c r="AN35" s="74"/>
      <c r="AO35" s="45"/>
      <c r="AP35" s="56"/>
      <c r="AQ35" s="57"/>
      <c r="AR35" s="57"/>
      <c r="AS35" s="57"/>
      <c r="AT35" s="57"/>
      <c r="AU35" s="57"/>
      <c r="AV35" s="57"/>
      <c r="AW35" s="51"/>
    </row>
    <row r="36" spans="1:49">
      <c r="A36" s="12" t="str">
        <f>Roster!A36</f>
        <v/>
      </c>
      <c r="B36" s="28">
        <f>Roster!C36</f>
        <v>0</v>
      </c>
      <c r="C36" s="55"/>
      <c r="D36" s="56"/>
      <c r="E36" s="57"/>
      <c r="F36" s="57"/>
      <c r="G36" s="57"/>
      <c r="H36" s="57"/>
      <c r="I36" s="57"/>
      <c r="J36" s="57"/>
      <c r="K36" s="51"/>
      <c r="L36" s="58"/>
      <c r="M36" s="56"/>
      <c r="N36" s="57"/>
      <c r="O36" s="57"/>
      <c r="P36" s="57"/>
      <c r="Q36" s="57"/>
      <c r="R36" s="57"/>
      <c r="S36" s="57"/>
      <c r="T36" s="51"/>
      <c r="U36" s="74"/>
      <c r="V36" s="45"/>
      <c r="W36" s="56"/>
      <c r="X36" s="57"/>
      <c r="Y36" s="57"/>
      <c r="Z36" s="57"/>
      <c r="AA36" s="57"/>
      <c r="AB36" s="57"/>
      <c r="AC36" s="57"/>
      <c r="AD36" s="51"/>
      <c r="AE36" s="65"/>
      <c r="AF36" s="56"/>
      <c r="AG36" s="57"/>
      <c r="AH36" s="57"/>
      <c r="AI36" s="57"/>
      <c r="AJ36" s="57"/>
      <c r="AK36" s="57"/>
      <c r="AL36" s="57"/>
      <c r="AM36" s="51"/>
      <c r="AN36" s="74"/>
      <c r="AO36" s="45"/>
      <c r="AP36" s="56"/>
      <c r="AQ36" s="57"/>
      <c r="AR36" s="57"/>
      <c r="AS36" s="57"/>
      <c r="AT36" s="57"/>
      <c r="AU36" s="57"/>
      <c r="AV36" s="57"/>
      <c r="AW36" s="51"/>
    </row>
    <row r="37" spans="1:49">
      <c r="A37" s="12" t="str">
        <f>Roster!A37</f>
        <v/>
      </c>
      <c r="B37" s="28">
        <f>Roster!C37</f>
        <v>0</v>
      </c>
      <c r="C37" s="55"/>
      <c r="D37" s="56"/>
      <c r="E37" s="57"/>
      <c r="F37" s="57"/>
      <c r="G37" s="57"/>
      <c r="H37" s="57"/>
      <c r="I37" s="57"/>
      <c r="J37" s="57"/>
      <c r="K37" s="51"/>
      <c r="L37" s="58"/>
      <c r="M37" s="56"/>
      <c r="N37" s="57"/>
      <c r="O37" s="57"/>
      <c r="P37" s="57"/>
      <c r="Q37" s="57"/>
      <c r="R37" s="57"/>
      <c r="S37" s="57"/>
      <c r="T37" s="51"/>
      <c r="U37" s="74"/>
      <c r="V37" s="45"/>
      <c r="W37" s="56"/>
      <c r="X37" s="57"/>
      <c r="Y37" s="57"/>
      <c r="Z37" s="57"/>
      <c r="AA37" s="57"/>
      <c r="AB37" s="57"/>
      <c r="AC37" s="57"/>
      <c r="AD37" s="51"/>
      <c r="AE37" s="65"/>
      <c r="AF37" s="56"/>
      <c r="AG37" s="57"/>
      <c r="AH37" s="57"/>
      <c r="AI37" s="57"/>
      <c r="AJ37" s="57"/>
      <c r="AK37" s="57"/>
      <c r="AL37" s="57"/>
      <c r="AM37" s="51"/>
      <c r="AN37" s="74"/>
      <c r="AO37" s="45"/>
      <c r="AP37" s="56"/>
      <c r="AQ37" s="57"/>
      <c r="AR37" s="57"/>
      <c r="AS37" s="57"/>
      <c r="AT37" s="57"/>
      <c r="AU37" s="57"/>
      <c r="AV37" s="57"/>
      <c r="AW37" s="51"/>
    </row>
    <row r="38" spans="1:49">
      <c r="A38" s="12" t="str">
        <f>Roster!A38</f>
        <v/>
      </c>
      <c r="B38" s="28">
        <f>Roster!C38</f>
        <v>0</v>
      </c>
      <c r="C38" s="55"/>
      <c r="D38" s="56"/>
      <c r="E38" s="57"/>
      <c r="F38" s="57"/>
      <c r="G38" s="57"/>
      <c r="H38" s="57"/>
      <c r="I38" s="57"/>
      <c r="J38" s="57"/>
      <c r="K38" s="51"/>
      <c r="L38" s="58"/>
      <c r="M38" s="56"/>
      <c r="N38" s="57"/>
      <c r="O38" s="57"/>
      <c r="P38" s="57"/>
      <c r="Q38" s="57"/>
      <c r="R38" s="57"/>
      <c r="S38" s="57"/>
      <c r="T38" s="51"/>
      <c r="U38" s="74"/>
      <c r="V38" s="45"/>
      <c r="W38" s="56"/>
      <c r="X38" s="57"/>
      <c r="Y38" s="57"/>
      <c r="Z38" s="57"/>
      <c r="AA38" s="57"/>
      <c r="AB38" s="57"/>
      <c r="AC38" s="57"/>
      <c r="AD38" s="51"/>
      <c r="AE38" s="65"/>
      <c r="AF38" s="56"/>
      <c r="AG38" s="57"/>
      <c r="AH38" s="57"/>
      <c r="AI38" s="57"/>
      <c r="AJ38" s="57"/>
      <c r="AK38" s="57"/>
      <c r="AL38" s="57"/>
      <c r="AM38" s="51"/>
      <c r="AN38" s="74"/>
      <c r="AO38" s="45"/>
      <c r="AP38" s="56"/>
      <c r="AQ38" s="57"/>
      <c r="AR38" s="57"/>
      <c r="AS38" s="57"/>
      <c r="AT38" s="57"/>
      <c r="AU38" s="57"/>
      <c r="AV38" s="57"/>
      <c r="AW38" s="51"/>
    </row>
    <row r="39" spans="1:49">
      <c r="A39" s="12" t="str">
        <f>Roster!A39</f>
        <v/>
      </c>
      <c r="B39" s="28">
        <f>Roster!C39</f>
        <v>0</v>
      </c>
      <c r="C39" s="55"/>
      <c r="D39" s="56"/>
      <c r="E39" s="57"/>
      <c r="F39" s="57"/>
      <c r="G39" s="57"/>
      <c r="H39" s="57"/>
      <c r="I39" s="57"/>
      <c r="J39" s="57"/>
      <c r="K39" s="51"/>
      <c r="L39" s="58"/>
      <c r="M39" s="56"/>
      <c r="N39" s="57"/>
      <c r="O39" s="57"/>
      <c r="P39" s="57"/>
      <c r="Q39" s="57"/>
      <c r="R39" s="57"/>
      <c r="S39" s="57"/>
      <c r="T39" s="51"/>
      <c r="U39" s="74"/>
      <c r="V39" s="45"/>
      <c r="W39" s="56"/>
      <c r="X39" s="57"/>
      <c r="Y39" s="57"/>
      <c r="Z39" s="57"/>
      <c r="AA39" s="57"/>
      <c r="AB39" s="57"/>
      <c r="AC39" s="57"/>
      <c r="AD39" s="51"/>
      <c r="AE39" s="65"/>
      <c r="AF39" s="56"/>
      <c r="AG39" s="57"/>
      <c r="AH39" s="57"/>
      <c r="AI39" s="57"/>
      <c r="AJ39" s="57"/>
      <c r="AK39" s="57"/>
      <c r="AL39" s="57"/>
      <c r="AM39" s="51"/>
      <c r="AN39" s="74"/>
      <c r="AO39" s="45"/>
      <c r="AP39" s="56"/>
      <c r="AQ39" s="57"/>
      <c r="AR39" s="57"/>
      <c r="AS39" s="57"/>
      <c r="AT39" s="57"/>
      <c r="AU39" s="57"/>
      <c r="AV39" s="57"/>
      <c r="AW39" s="51"/>
    </row>
    <row r="40" spans="1:49">
      <c r="A40" s="12" t="str">
        <f>Roster!A40</f>
        <v/>
      </c>
      <c r="B40" s="28">
        <f>Roster!C40</f>
        <v>0</v>
      </c>
      <c r="C40" s="55"/>
      <c r="D40" s="56"/>
      <c r="E40" s="57"/>
      <c r="F40" s="57"/>
      <c r="G40" s="57"/>
      <c r="H40" s="57"/>
      <c r="I40" s="57"/>
      <c r="J40" s="57"/>
      <c r="K40" s="51"/>
      <c r="L40" s="58"/>
      <c r="M40" s="56"/>
      <c r="N40" s="57"/>
      <c r="O40" s="57"/>
      <c r="P40" s="57"/>
      <c r="Q40" s="57"/>
      <c r="R40" s="57"/>
      <c r="S40" s="57"/>
      <c r="T40" s="51"/>
      <c r="U40" s="74"/>
      <c r="V40" s="45"/>
      <c r="W40" s="56"/>
      <c r="X40" s="57"/>
      <c r="Y40" s="57"/>
      <c r="Z40" s="57"/>
      <c r="AA40" s="57"/>
      <c r="AB40" s="57"/>
      <c r="AC40" s="57"/>
      <c r="AD40" s="51"/>
      <c r="AE40" s="65"/>
      <c r="AF40" s="56"/>
      <c r="AG40" s="57"/>
      <c r="AH40" s="57"/>
      <c r="AI40" s="57"/>
      <c r="AJ40" s="57"/>
      <c r="AK40" s="57"/>
      <c r="AL40" s="57"/>
      <c r="AM40" s="51"/>
      <c r="AN40" s="74"/>
      <c r="AO40" s="45"/>
      <c r="AP40" s="56"/>
      <c r="AQ40" s="57"/>
      <c r="AR40" s="57"/>
      <c r="AS40" s="57"/>
      <c r="AT40" s="57"/>
      <c r="AU40" s="57"/>
      <c r="AV40" s="57"/>
      <c r="AW40" s="51"/>
    </row>
    <row r="41" spans="1:49">
      <c r="A41" s="12" t="str">
        <f>Roster!A41</f>
        <v/>
      </c>
      <c r="B41" s="28">
        <f>Roster!C41</f>
        <v>0</v>
      </c>
      <c r="C41" s="55"/>
      <c r="D41" s="56"/>
      <c r="E41" s="57"/>
      <c r="F41" s="57"/>
      <c r="G41" s="57"/>
      <c r="H41" s="57"/>
      <c r="I41" s="57"/>
      <c r="J41" s="57"/>
      <c r="K41" s="51"/>
      <c r="L41" s="58"/>
      <c r="M41" s="56"/>
      <c r="N41" s="57"/>
      <c r="O41" s="57"/>
      <c r="P41" s="57"/>
      <c r="Q41" s="57"/>
      <c r="R41" s="57"/>
      <c r="S41" s="57"/>
      <c r="T41" s="51"/>
      <c r="U41" s="74"/>
      <c r="V41" s="45"/>
      <c r="W41" s="56"/>
      <c r="X41" s="57"/>
      <c r="Y41" s="57"/>
      <c r="Z41" s="57"/>
      <c r="AA41" s="57"/>
      <c r="AB41" s="57"/>
      <c r="AC41" s="57"/>
      <c r="AD41" s="51"/>
      <c r="AE41" s="65"/>
      <c r="AF41" s="56"/>
      <c r="AG41" s="57"/>
      <c r="AH41" s="57"/>
      <c r="AI41" s="57"/>
      <c r="AJ41" s="57"/>
      <c r="AK41" s="57"/>
      <c r="AL41" s="57"/>
      <c r="AM41" s="51"/>
      <c r="AN41" s="74"/>
      <c r="AO41" s="45"/>
      <c r="AP41" s="56"/>
      <c r="AQ41" s="57"/>
      <c r="AR41" s="57"/>
      <c r="AS41" s="57"/>
      <c r="AT41" s="57"/>
      <c r="AU41" s="57"/>
      <c r="AV41" s="57"/>
      <c r="AW41" s="51"/>
    </row>
    <row r="42" spans="1:49">
      <c r="A42" s="12" t="str">
        <f>Roster!A42</f>
        <v/>
      </c>
      <c r="B42" s="28">
        <f>Roster!C42</f>
        <v>0</v>
      </c>
      <c r="C42" s="55"/>
      <c r="D42" s="56"/>
      <c r="E42" s="57"/>
      <c r="F42" s="57"/>
      <c r="G42" s="57"/>
      <c r="H42" s="57"/>
      <c r="I42" s="57"/>
      <c r="J42" s="57"/>
      <c r="K42" s="51"/>
      <c r="L42" s="58"/>
      <c r="M42" s="56"/>
      <c r="N42" s="57"/>
      <c r="O42" s="57"/>
      <c r="P42" s="57"/>
      <c r="Q42" s="57"/>
      <c r="R42" s="57"/>
      <c r="S42" s="57"/>
      <c r="T42" s="51"/>
      <c r="U42" s="74"/>
      <c r="V42" s="45"/>
      <c r="W42" s="56"/>
      <c r="X42" s="57"/>
      <c r="Y42" s="57"/>
      <c r="Z42" s="57"/>
      <c r="AA42" s="57"/>
      <c r="AB42" s="57"/>
      <c r="AC42" s="57"/>
      <c r="AD42" s="51"/>
      <c r="AE42" s="65"/>
      <c r="AF42" s="56"/>
      <c r="AG42" s="57"/>
      <c r="AH42" s="57"/>
      <c r="AI42" s="57"/>
      <c r="AJ42" s="57"/>
      <c r="AK42" s="57"/>
      <c r="AL42" s="57"/>
      <c r="AM42" s="51"/>
      <c r="AN42" s="74"/>
      <c r="AO42" s="45"/>
      <c r="AP42" s="56"/>
      <c r="AQ42" s="57"/>
      <c r="AR42" s="57"/>
      <c r="AS42" s="57"/>
      <c r="AT42" s="57"/>
      <c r="AU42" s="57"/>
      <c r="AV42" s="57"/>
      <c r="AW42" s="51"/>
    </row>
    <row r="43" spans="1:49">
      <c r="A43" s="12" t="str">
        <f>Roster!A43</f>
        <v/>
      </c>
      <c r="B43" s="28">
        <f>Roster!C43</f>
        <v>0</v>
      </c>
      <c r="C43" s="55"/>
      <c r="D43" s="56"/>
      <c r="E43" s="57"/>
      <c r="F43" s="57"/>
      <c r="G43" s="57"/>
      <c r="H43" s="57"/>
      <c r="I43" s="57"/>
      <c r="J43" s="57"/>
      <c r="K43" s="51"/>
      <c r="L43" s="58"/>
      <c r="M43" s="56"/>
      <c r="N43" s="57"/>
      <c r="O43" s="57"/>
      <c r="P43" s="57"/>
      <c r="Q43" s="57"/>
      <c r="R43" s="57"/>
      <c r="S43" s="57"/>
      <c r="T43" s="51"/>
      <c r="U43" s="74"/>
      <c r="V43" s="45"/>
      <c r="W43" s="56"/>
      <c r="X43" s="57"/>
      <c r="Y43" s="57"/>
      <c r="Z43" s="57"/>
      <c r="AA43" s="57"/>
      <c r="AB43" s="57"/>
      <c r="AC43" s="57"/>
      <c r="AD43" s="51"/>
      <c r="AE43" s="65"/>
      <c r="AF43" s="56"/>
      <c r="AG43" s="57"/>
      <c r="AH43" s="57"/>
      <c r="AI43" s="57"/>
      <c r="AJ43" s="57"/>
      <c r="AK43" s="57"/>
      <c r="AL43" s="57"/>
      <c r="AM43" s="51"/>
      <c r="AN43" s="74"/>
      <c r="AO43" s="45"/>
      <c r="AP43" s="56"/>
      <c r="AQ43" s="57"/>
      <c r="AR43" s="57"/>
      <c r="AS43" s="57"/>
      <c r="AT43" s="57"/>
      <c r="AU43" s="57"/>
      <c r="AV43" s="57"/>
      <c r="AW43" s="51"/>
    </row>
    <row r="44" spans="1:49">
      <c r="A44" s="12" t="str">
        <f>Roster!A44</f>
        <v/>
      </c>
      <c r="B44" s="28">
        <f>Roster!C44</f>
        <v>0</v>
      </c>
      <c r="C44" s="55"/>
      <c r="D44" s="56"/>
      <c r="E44" s="57"/>
      <c r="F44" s="57"/>
      <c r="G44" s="57"/>
      <c r="H44" s="57"/>
      <c r="I44" s="57"/>
      <c r="J44" s="57"/>
      <c r="K44" s="51"/>
      <c r="L44" s="58"/>
      <c r="M44" s="56"/>
      <c r="N44" s="57"/>
      <c r="O44" s="57"/>
      <c r="P44" s="57"/>
      <c r="Q44" s="57"/>
      <c r="R44" s="57"/>
      <c r="S44" s="57"/>
      <c r="T44" s="51"/>
      <c r="U44" s="74"/>
      <c r="V44" s="45"/>
      <c r="W44" s="56"/>
      <c r="X44" s="57"/>
      <c r="Y44" s="57"/>
      <c r="Z44" s="57"/>
      <c r="AA44" s="57"/>
      <c r="AB44" s="57"/>
      <c r="AC44" s="57"/>
      <c r="AD44" s="51"/>
      <c r="AE44" s="65"/>
      <c r="AF44" s="56"/>
      <c r="AG44" s="57"/>
      <c r="AH44" s="57"/>
      <c r="AI44" s="57"/>
      <c r="AJ44" s="57"/>
      <c r="AK44" s="57"/>
      <c r="AL44" s="57"/>
      <c r="AM44" s="51"/>
      <c r="AN44" s="74"/>
      <c r="AO44" s="45"/>
      <c r="AP44" s="56"/>
      <c r="AQ44" s="57"/>
      <c r="AR44" s="57"/>
      <c r="AS44" s="57"/>
      <c r="AT44" s="57"/>
      <c r="AU44" s="57"/>
      <c r="AV44" s="57"/>
      <c r="AW44" s="51"/>
    </row>
    <row r="45" spans="1:49">
      <c r="A45" s="12" t="str">
        <f>Roster!A45</f>
        <v/>
      </c>
      <c r="B45" s="28">
        <f>Roster!C45</f>
        <v>0</v>
      </c>
      <c r="C45" s="55"/>
      <c r="D45" s="56"/>
      <c r="E45" s="57"/>
      <c r="F45" s="57"/>
      <c r="G45" s="57"/>
      <c r="H45" s="57"/>
      <c r="I45" s="57"/>
      <c r="J45" s="57"/>
      <c r="K45" s="51"/>
      <c r="L45" s="58"/>
      <c r="M45" s="56"/>
      <c r="N45" s="57"/>
      <c r="O45" s="57"/>
      <c r="P45" s="57"/>
      <c r="Q45" s="57"/>
      <c r="R45" s="57"/>
      <c r="S45" s="57"/>
      <c r="T45" s="51"/>
      <c r="U45" s="74"/>
      <c r="V45" s="45"/>
      <c r="W45" s="56"/>
      <c r="X45" s="57"/>
      <c r="Y45" s="57"/>
      <c r="Z45" s="57"/>
      <c r="AA45" s="57"/>
      <c r="AB45" s="57"/>
      <c r="AC45" s="57"/>
      <c r="AD45" s="51"/>
      <c r="AE45" s="65"/>
      <c r="AF45" s="56"/>
      <c r="AG45" s="57"/>
      <c r="AH45" s="57"/>
      <c r="AI45" s="57"/>
      <c r="AJ45" s="57"/>
      <c r="AK45" s="57"/>
      <c r="AL45" s="57"/>
      <c r="AM45" s="51"/>
      <c r="AN45" s="74"/>
      <c r="AO45" s="45"/>
      <c r="AP45" s="56"/>
      <c r="AQ45" s="57"/>
      <c r="AR45" s="57"/>
      <c r="AS45" s="57"/>
      <c r="AT45" s="57"/>
      <c r="AU45" s="57"/>
      <c r="AV45" s="57"/>
      <c r="AW45" s="51"/>
    </row>
    <row r="46" spans="1:49">
      <c r="A46" s="12" t="str">
        <f>Roster!A46</f>
        <v/>
      </c>
      <c r="B46" s="28">
        <f>Roster!C46</f>
        <v>0</v>
      </c>
      <c r="C46" s="55"/>
      <c r="D46" s="56"/>
      <c r="E46" s="57"/>
      <c r="F46" s="57"/>
      <c r="G46" s="57"/>
      <c r="H46" s="57"/>
      <c r="I46" s="57"/>
      <c r="J46" s="57"/>
      <c r="K46" s="51"/>
      <c r="L46" s="58"/>
      <c r="M46" s="56"/>
      <c r="N46" s="57"/>
      <c r="O46" s="57"/>
      <c r="P46" s="57"/>
      <c r="Q46" s="57"/>
      <c r="R46" s="57"/>
      <c r="S46" s="57"/>
      <c r="T46" s="51"/>
      <c r="U46" s="74"/>
      <c r="V46" s="45"/>
      <c r="W46" s="56"/>
      <c r="X46" s="57"/>
      <c r="Y46" s="57"/>
      <c r="Z46" s="57"/>
      <c r="AA46" s="57"/>
      <c r="AB46" s="57"/>
      <c r="AC46" s="57"/>
      <c r="AD46" s="51"/>
      <c r="AE46" s="65"/>
      <c r="AF46" s="56"/>
      <c r="AG46" s="57"/>
      <c r="AH46" s="57"/>
      <c r="AI46" s="57"/>
      <c r="AJ46" s="57"/>
      <c r="AK46" s="57"/>
      <c r="AL46" s="57"/>
      <c r="AM46" s="51"/>
      <c r="AN46" s="74"/>
      <c r="AO46" s="45"/>
      <c r="AP46" s="56"/>
      <c r="AQ46" s="57"/>
      <c r="AR46" s="57"/>
      <c r="AS46" s="57"/>
      <c r="AT46" s="57"/>
      <c r="AU46" s="57"/>
      <c r="AV46" s="57"/>
      <c r="AW46" s="51"/>
    </row>
    <row r="47" spans="1:49">
      <c r="A47" s="12" t="str">
        <f>Roster!A47</f>
        <v/>
      </c>
      <c r="B47" s="28">
        <f>Roster!C47</f>
        <v>0</v>
      </c>
      <c r="C47" s="55"/>
      <c r="D47" s="56"/>
      <c r="E47" s="57"/>
      <c r="F47" s="57"/>
      <c r="G47" s="57"/>
      <c r="H47" s="57"/>
      <c r="I47" s="57"/>
      <c r="J47" s="57"/>
      <c r="K47" s="51"/>
      <c r="L47" s="58"/>
      <c r="M47" s="56"/>
      <c r="N47" s="57"/>
      <c r="O47" s="57"/>
      <c r="P47" s="57"/>
      <c r="Q47" s="57"/>
      <c r="R47" s="57"/>
      <c r="S47" s="57"/>
      <c r="T47" s="51"/>
      <c r="U47" s="74"/>
      <c r="V47" s="45"/>
      <c r="W47" s="56"/>
      <c r="X47" s="57"/>
      <c r="Y47" s="57"/>
      <c r="Z47" s="57"/>
      <c r="AA47" s="57"/>
      <c r="AB47" s="57"/>
      <c r="AC47" s="57"/>
      <c r="AD47" s="51"/>
      <c r="AE47" s="65"/>
      <c r="AF47" s="56"/>
      <c r="AG47" s="57"/>
      <c r="AH47" s="57"/>
      <c r="AI47" s="57"/>
      <c r="AJ47" s="57"/>
      <c r="AK47" s="57"/>
      <c r="AL47" s="57"/>
      <c r="AM47" s="51"/>
      <c r="AN47" s="74"/>
      <c r="AO47" s="45"/>
      <c r="AP47" s="56"/>
      <c r="AQ47" s="57"/>
      <c r="AR47" s="57"/>
      <c r="AS47" s="57"/>
      <c r="AT47" s="57"/>
      <c r="AU47" s="57"/>
      <c r="AV47" s="57"/>
      <c r="AW47" s="51"/>
    </row>
    <row r="48" spans="1:49">
      <c r="A48" s="12" t="str">
        <f>Roster!A48</f>
        <v/>
      </c>
      <c r="B48" s="28">
        <f>Roster!C48</f>
        <v>0</v>
      </c>
      <c r="C48" s="55"/>
      <c r="D48" s="56"/>
      <c r="E48" s="57"/>
      <c r="F48" s="57"/>
      <c r="G48" s="57"/>
      <c r="H48" s="57"/>
      <c r="I48" s="57"/>
      <c r="J48" s="57"/>
      <c r="K48" s="51"/>
      <c r="L48" s="58"/>
      <c r="M48" s="56"/>
      <c r="N48" s="57"/>
      <c r="O48" s="57"/>
      <c r="P48" s="57"/>
      <c r="Q48" s="57"/>
      <c r="R48" s="57"/>
      <c r="S48" s="57"/>
      <c r="T48" s="51"/>
      <c r="U48" s="74"/>
      <c r="V48" s="45"/>
      <c r="W48" s="56"/>
      <c r="X48" s="57"/>
      <c r="Y48" s="57"/>
      <c r="Z48" s="57"/>
      <c r="AA48" s="57"/>
      <c r="AB48" s="57"/>
      <c r="AC48" s="57"/>
      <c r="AD48" s="51"/>
      <c r="AE48" s="65"/>
      <c r="AF48" s="56"/>
      <c r="AG48" s="57"/>
      <c r="AH48" s="57"/>
      <c r="AI48" s="57"/>
      <c r="AJ48" s="57"/>
      <c r="AK48" s="57"/>
      <c r="AL48" s="57"/>
      <c r="AM48" s="51"/>
      <c r="AN48" s="74"/>
      <c r="AO48" s="45"/>
      <c r="AP48" s="56"/>
      <c r="AQ48" s="57"/>
      <c r="AR48" s="57"/>
      <c r="AS48" s="57"/>
      <c r="AT48" s="57"/>
      <c r="AU48" s="57"/>
      <c r="AV48" s="57"/>
      <c r="AW48" s="51"/>
    </row>
    <row r="49" spans="1:49">
      <c r="A49" s="12" t="str">
        <f>Roster!A49</f>
        <v/>
      </c>
      <c r="B49" s="28">
        <f>Roster!C49</f>
        <v>0</v>
      </c>
      <c r="C49" s="55"/>
      <c r="D49" s="56"/>
      <c r="E49" s="57"/>
      <c r="F49" s="57"/>
      <c r="G49" s="57"/>
      <c r="H49" s="57"/>
      <c r="I49" s="57"/>
      <c r="J49" s="57"/>
      <c r="K49" s="51"/>
      <c r="L49" s="58"/>
      <c r="M49" s="56"/>
      <c r="N49" s="57"/>
      <c r="O49" s="57"/>
      <c r="P49" s="57"/>
      <c r="Q49" s="57"/>
      <c r="R49" s="57"/>
      <c r="S49" s="57"/>
      <c r="T49" s="51"/>
      <c r="U49" s="74"/>
      <c r="V49" s="45"/>
      <c r="W49" s="56"/>
      <c r="X49" s="57"/>
      <c r="Y49" s="57"/>
      <c r="Z49" s="57"/>
      <c r="AA49" s="57"/>
      <c r="AB49" s="57"/>
      <c r="AC49" s="57"/>
      <c r="AD49" s="51"/>
      <c r="AE49" s="65"/>
      <c r="AF49" s="56"/>
      <c r="AG49" s="57"/>
      <c r="AH49" s="57"/>
      <c r="AI49" s="57"/>
      <c r="AJ49" s="57"/>
      <c r="AK49" s="57"/>
      <c r="AL49" s="57"/>
      <c r="AM49" s="51"/>
      <c r="AN49" s="74"/>
      <c r="AO49" s="45"/>
      <c r="AP49" s="56"/>
      <c r="AQ49" s="57"/>
      <c r="AR49" s="57"/>
      <c r="AS49" s="57"/>
      <c r="AT49" s="57"/>
      <c r="AU49" s="57"/>
      <c r="AV49" s="57"/>
      <c r="AW49" s="51"/>
    </row>
    <row r="50" spans="1:49">
      <c r="A50" s="12" t="str">
        <f>Roster!A50</f>
        <v/>
      </c>
      <c r="B50" s="28">
        <f>Roster!C50</f>
        <v>0</v>
      </c>
      <c r="C50" s="55"/>
      <c r="D50" s="56"/>
      <c r="E50" s="57"/>
      <c r="F50" s="57"/>
      <c r="G50" s="57"/>
      <c r="H50" s="57"/>
      <c r="I50" s="57"/>
      <c r="J50" s="57"/>
      <c r="K50" s="51"/>
      <c r="L50" s="58"/>
      <c r="M50" s="56"/>
      <c r="N50" s="57"/>
      <c r="O50" s="57"/>
      <c r="P50" s="57"/>
      <c r="Q50" s="57"/>
      <c r="R50" s="57"/>
      <c r="S50" s="57"/>
      <c r="T50" s="51"/>
      <c r="U50" s="74"/>
      <c r="V50" s="45"/>
      <c r="W50" s="56"/>
      <c r="X50" s="57"/>
      <c r="Y50" s="57"/>
      <c r="Z50" s="57"/>
      <c r="AA50" s="57"/>
      <c r="AB50" s="57"/>
      <c r="AC50" s="57"/>
      <c r="AD50" s="51"/>
      <c r="AE50" s="65"/>
      <c r="AF50" s="56"/>
      <c r="AG50" s="57"/>
      <c r="AH50" s="57"/>
      <c r="AI50" s="57"/>
      <c r="AJ50" s="57"/>
      <c r="AK50" s="57"/>
      <c r="AL50" s="57"/>
      <c r="AM50" s="51"/>
      <c r="AN50" s="74"/>
      <c r="AO50" s="45"/>
      <c r="AP50" s="56"/>
      <c r="AQ50" s="57"/>
      <c r="AR50" s="57"/>
      <c r="AS50" s="57"/>
      <c r="AT50" s="57"/>
      <c r="AU50" s="57"/>
      <c r="AV50" s="57"/>
      <c r="AW50" s="51"/>
    </row>
    <row r="51" spans="1:49">
      <c r="A51" s="12" t="str">
        <f>Roster!A51</f>
        <v/>
      </c>
      <c r="B51" s="28">
        <f>Roster!C51</f>
        <v>0</v>
      </c>
      <c r="C51" s="55"/>
      <c r="D51" s="56"/>
      <c r="E51" s="57"/>
      <c r="F51" s="57"/>
      <c r="G51" s="57"/>
      <c r="H51" s="57"/>
      <c r="I51" s="57"/>
      <c r="J51" s="57"/>
      <c r="K51" s="51"/>
      <c r="L51" s="58"/>
      <c r="M51" s="56"/>
      <c r="N51" s="57"/>
      <c r="O51" s="57"/>
      <c r="P51" s="57"/>
      <c r="Q51" s="57"/>
      <c r="R51" s="57"/>
      <c r="S51" s="57"/>
      <c r="T51" s="51"/>
      <c r="U51" s="74"/>
      <c r="V51" s="45"/>
      <c r="W51" s="56"/>
      <c r="X51" s="57"/>
      <c r="Y51" s="57"/>
      <c r="Z51" s="57"/>
      <c r="AA51" s="57"/>
      <c r="AB51" s="57"/>
      <c r="AC51" s="57"/>
      <c r="AD51" s="51"/>
      <c r="AE51" s="65"/>
      <c r="AF51" s="56"/>
      <c r="AG51" s="57"/>
      <c r="AH51" s="57"/>
      <c r="AI51" s="57"/>
      <c r="AJ51" s="57"/>
      <c r="AK51" s="57"/>
      <c r="AL51" s="57"/>
      <c r="AM51" s="51"/>
      <c r="AN51" s="74"/>
      <c r="AO51" s="45"/>
      <c r="AP51" s="56"/>
      <c r="AQ51" s="57"/>
      <c r="AR51" s="57"/>
      <c r="AS51" s="57"/>
      <c r="AT51" s="57"/>
      <c r="AU51" s="57"/>
      <c r="AV51" s="57"/>
      <c r="AW51" s="51"/>
    </row>
    <row r="52" spans="1:49">
      <c r="A52" s="12" t="str">
        <f>Roster!A52</f>
        <v/>
      </c>
      <c r="B52" s="28">
        <f>Roster!C52</f>
        <v>0</v>
      </c>
      <c r="C52" s="55"/>
      <c r="D52" s="56"/>
      <c r="E52" s="57"/>
      <c r="F52" s="57"/>
      <c r="G52" s="57"/>
      <c r="H52" s="57"/>
      <c r="I52" s="57"/>
      <c r="J52" s="57"/>
      <c r="K52" s="51"/>
      <c r="L52" s="58"/>
      <c r="M52" s="56"/>
      <c r="N52" s="57"/>
      <c r="O52" s="57"/>
      <c r="P52" s="57"/>
      <c r="Q52" s="57"/>
      <c r="R52" s="57"/>
      <c r="S52" s="57"/>
      <c r="T52" s="51"/>
      <c r="U52" s="74"/>
      <c r="V52" s="45"/>
      <c r="W52" s="56"/>
      <c r="X52" s="57"/>
      <c r="Y52" s="57"/>
      <c r="Z52" s="57"/>
      <c r="AA52" s="57"/>
      <c r="AB52" s="57"/>
      <c r="AC52" s="57"/>
      <c r="AD52" s="51"/>
      <c r="AE52" s="65"/>
      <c r="AF52" s="56"/>
      <c r="AG52" s="57"/>
      <c r="AH52" s="57"/>
      <c r="AI52" s="57"/>
      <c r="AJ52" s="57"/>
      <c r="AK52" s="57"/>
      <c r="AL52" s="57"/>
      <c r="AM52" s="51"/>
      <c r="AN52" s="74"/>
      <c r="AO52" s="45"/>
      <c r="AP52" s="56"/>
      <c r="AQ52" s="57"/>
      <c r="AR52" s="57"/>
      <c r="AS52" s="57"/>
      <c r="AT52" s="57"/>
      <c r="AU52" s="57"/>
      <c r="AV52" s="57"/>
      <c r="AW52" s="51"/>
    </row>
    <row r="53" spans="1:49">
      <c r="A53" s="12" t="str">
        <f>Roster!A53</f>
        <v/>
      </c>
      <c r="B53" s="28">
        <f>Roster!C53</f>
        <v>0</v>
      </c>
      <c r="C53" s="55"/>
      <c r="D53" s="56"/>
      <c r="E53" s="57"/>
      <c r="F53" s="57"/>
      <c r="G53" s="57"/>
      <c r="H53" s="57"/>
      <c r="I53" s="57"/>
      <c r="J53" s="57"/>
      <c r="K53" s="45"/>
      <c r="L53" s="58"/>
      <c r="M53" s="56"/>
      <c r="N53" s="57"/>
      <c r="O53" s="57"/>
      <c r="P53" s="57"/>
      <c r="Q53" s="57"/>
      <c r="R53" s="57"/>
      <c r="S53" s="57"/>
      <c r="T53" s="45"/>
      <c r="U53" s="74"/>
      <c r="V53" s="45"/>
      <c r="W53" s="56"/>
      <c r="X53" s="57"/>
      <c r="Y53" s="57"/>
      <c r="Z53" s="57"/>
      <c r="AA53" s="57"/>
      <c r="AB53" s="57"/>
      <c r="AC53" s="57"/>
      <c r="AD53" s="45"/>
      <c r="AE53" s="65"/>
      <c r="AF53" s="56"/>
      <c r="AG53" s="57"/>
      <c r="AH53" s="57"/>
      <c r="AI53" s="57"/>
      <c r="AJ53" s="57"/>
      <c r="AK53" s="57"/>
      <c r="AL53" s="57"/>
      <c r="AM53" s="45"/>
      <c r="AN53" s="74"/>
      <c r="AO53" s="45"/>
      <c r="AP53" s="56"/>
      <c r="AQ53" s="57"/>
      <c r="AR53" s="57"/>
      <c r="AS53" s="57"/>
      <c r="AT53" s="57"/>
      <c r="AU53" s="57"/>
      <c r="AV53" s="57"/>
      <c r="AW53" s="45"/>
    </row>
    <row r="54" spans="1:49">
      <c r="A54" s="12" t="str">
        <f>Roster!A54</f>
        <v/>
      </c>
      <c r="B54" s="28">
        <f>Roster!C54</f>
        <v>0</v>
      </c>
      <c r="C54" s="55"/>
      <c r="D54" s="56"/>
      <c r="E54" s="57"/>
      <c r="F54" s="57"/>
      <c r="G54" s="57"/>
      <c r="H54" s="57"/>
      <c r="I54" s="57"/>
      <c r="J54" s="57"/>
      <c r="K54" s="45"/>
      <c r="L54" s="58"/>
      <c r="M54" s="56"/>
      <c r="N54" s="57"/>
      <c r="O54" s="57"/>
      <c r="P54" s="57"/>
      <c r="Q54" s="57"/>
      <c r="R54" s="57"/>
      <c r="S54" s="57"/>
      <c r="T54" s="45"/>
      <c r="U54" s="74"/>
      <c r="V54" s="45"/>
      <c r="W54" s="56"/>
      <c r="X54" s="57"/>
      <c r="Y54" s="57"/>
      <c r="Z54" s="57"/>
      <c r="AA54" s="57"/>
      <c r="AB54" s="57"/>
      <c r="AC54" s="57"/>
      <c r="AD54" s="45"/>
      <c r="AE54" s="65"/>
      <c r="AF54" s="56"/>
      <c r="AG54" s="57"/>
      <c r="AH54" s="57"/>
      <c r="AI54" s="57"/>
      <c r="AJ54" s="57"/>
      <c r="AK54" s="57"/>
      <c r="AL54" s="57"/>
      <c r="AM54" s="45"/>
      <c r="AN54" s="74"/>
      <c r="AO54" s="45"/>
      <c r="AP54" s="56"/>
      <c r="AQ54" s="57"/>
      <c r="AR54" s="57"/>
      <c r="AS54" s="57"/>
      <c r="AT54" s="57"/>
      <c r="AU54" s="57"/>
      <c r="AV54" s="57"/>
      <c r="AW54" s="45"/>
    </row>
    <row r="55" spans="1:49">
      <c r="A55" s="12" t="str">
        <f>Roster!A55</f>
        <v/>
      </c>
      <c r="B55" s="28">
        <f>Roster!C55</f>
        <v>0</v>
      </c>
      <c r="C55" s="55"/>
      <c r="D55" s="56"/>
      <c r="E55" s="57"/>
      <c r="F55" s="57"/>
      <c r="G55" s="57"/>
      <c r="H55" s="57"/>
      <c r="I55" s="57"/>
      <c r="J55" s="57"/>
      <c r="K55" s="45"/>
      <c r="L55" s="58"/>
      <c r="M55" s="56"/>
      <c r="N55" s="57"/>
      <c r="O55" s="57"/>
      <c r="P55" s="57"/>
      <c r="Q55" s="57"/>
      <c r="R55" s="57"/>
      <c r="S55" s="57"/>
      <c r="T55" s="45"/>
      <c r="U55" s="74"/>
      <c r="V55" s="45"/>
      <c r="W55" s="56"/>
      <c r="X55" s="57"/>
      <c r="Y55" s="57"/>
      <c r="Z55" s="57"/>
      <c r="AA55" s="57"/>
      <c r="AB55" s="57"/>
      <c r="AC55" s="57"/>
      <c r="AD55" s="45"/>
      <c r="AE55" s="65"/>
      <c r="AF55" s="56"/>
      <c r="AG55" s="57"/>
      <c r="AH55" s="57"/>
      <c r="AI55" s="57"/>
      <c r="AJ55" s="57"/>
      <c r="AK55" s="57"/>
      <c r="AL55" s="57"/>
      <c r="AM55" s="45"/>
      <c r="AN55" s="74"/>
      <c r="AO55" s="45"/>
      <c r="AP55" s="56"/>
      <c r="AQ55" s="57"/>
      <c r="AR55" s="57"/>
      <c r="AS55" s="57"/>
      <c r="AT55" s="57"/>
      <c r="AU55" s="57"/>
      <c r="AV55" s="57"/>
      <c r="AW55" s="45"/>
    </row>
    <row r="56" spans="1:49">
      <c r="A56" s="12" t="str">
        <f>Roster!A56</f>
        <v/>
      </c>
      <c r="B56" s="28">
        <f>Roster!C56</f>
        <v>0</v>
      </c>
      <c r="C56" s="55"/>
      <c r="D56" s="56"/>
      <c r="E56" s="57"/>
      <c r="F56" s="57"/>
      <c r="G56" s="57"/>
      <c r="H56" s="57"/>
      <c r="I56" s="57"/>
      <c r="J56" s="57"/>
      <c r="K56" s="45"/>
      <c r="L56" s="58"/>
      <c r="M56" s="56"/>
      <c r="N56" s="57"/>
      <c r="O56" s="57"/>
      <c r="P56" s="57"/>
      <c r="Q56" s="57"/>
      <c r="R56" s="57"/>
      <c r="S56" s="57"/>
      <c r="T56" s="45"/>
      <c r="U56" s="74"/>
      <c r="V56" s="45"/>
      <c r="W56" s="56"/>
      <c r="X56" s="57"/>
      <c r="Y56" s="57"/>
      <c r="Z56" s="57"/>
      <c r="AA56" s="57"/>
      <c r="AB56" s="57"/>
      <c r="AC56" s="57"/>
      <c r="AD56" s="45"/>
      <c r="AE56" s="65"/>
      <c r="AF56" s="56"/>
      <c r="AG56" s="57"/>
      <c r="AH56" s="57"/>
      <c r="AI56" s="57"/>
      <c r="AJ56" s="57"/>
      <c r="AK56" s="57"/>
      <c r="AL56" s="57"/>
      <c r="AM56" s="45"/>
      <c r="AN56" s="74"/>
      <c r="AO56" s="45"/>
      <c r="AP56" s="56"/>
      <c r="AQ56" s="57"/>
      <c r="AR56" s="57"/>
      <c r="AS56" s="57"/>
      <c r="AT56" s="57"/>
      <c r="AU56" s="57"/>
      <c r="AV56" s="57"/>
      <c r="AW56" s="45"/>
    </row>
    <row r="57" spans="1:49">
      <c r="A57" s="12" t="str">
        <f>Roster!A57</f>
        <v/>
      </c>
      <c r="B57" s="28">
        <f>Roster!C57</f>
        <v>0</v>
      </c>
      <c r="C57" s="55"/>
      <c r="D57" s="56"/>
      <c r="E57" s="57"/>
      <c r="F57" s="57"/>
      <c r="G57" s="57"/>
      <c r="H57" s="57"/>
      <c r="I57" s="57"/>
      <c r="J57" s="57"/>
      <c r="K57" s="45"/>
      <c r="L57" s="58"/>
      <c r="M57" s="56"/>
      <c r="N57" s="57"/>
      <c r="O57" s="57"/>
      <c r="P57" s="57"/>
      <c r="Q57" s="57"/>
      <c r="R57" s="57"/>
      <c r="S57" s="57"/>
      <c r="T57" s="45"/>
      <c r="U57" s="74"/>
      <c r="V57" s="45"/>
      <c r="W57" s="56"/>
      <c r="X57" s="57"/>
      <c r="Y57" s="57"/>
      <c r="Z57" s="57"/>
      <c r="AA57" s="57"/>
      <c r="AB57" s="57"/>
      <c r="AC57" s="57"/>
      <c r="AD57" s="45"/>
      <c r="AE57" s="65"/>
      <c r="AF57" s="56"/>
      <c r="AG57" s="57"/>
      <c r="AH57" s="57"/>
      <c r="AI57" s="57"/>
      <c r="AJ57" s="57"/>
      <c r="AK57" s="57"/>
      <c r="AL57" s="57"/>
      <c r="AM57" s="45"/>
      <c r="AN57" s="74"/>
      <c r="AO57" s="45"/>
      <c r="AP57" s="56"/>
      <c r="AQ57" s="57"/>
      <c r="AR57" s="57"/>
      <c r="AS57" s="57"/>
      <c r="AT57" s="57"/>
      <c r="AU57" s="57"/>
      <c r="AV57" s="57"/>
      <c r="AW57" s="45"/>
    </row>
    <row r="58" spans="1:49">
      <c r="A58" s="12" t="str">
        <f>Roster!A58</f>
        <v/>
      </c>
      <c r="B58" s="28">
        <f>Roster!C58</f>
        <v>0</v>
      </c>
      <c r="C58" s="55"/>
      <c r="D58" s="56"/>
      <c r="E58" s="57"/>
      <c r="F58" s="57"/>
      <c r="G58" s="57"/>
      <c r="H58" s="57"/>
      <c r="I58" s="57"/>
      <c r="J58" s="57"/>
      <c r="K58" s="45"/>
      <c r="L58" s="58"/>
      <c r="M58" s="56"/>
      <c r="N58" s="57"/>
      <c r="O58" s="57"/>
      <c r="P58" s="57"/>
      <c r="Q58" s="57"/>
      <c r="R58" s="57"/>
      <c r="S58" s="57"/>
      <c r="T58" s="45"/>
      <c r="U58" s="74"/>
      <c r="V58" s="45"/>
      <c r="W58" s="56"/>
      <c r="X58" s="57"/>
      <c r="Y58" s="57"/>
      <c r="Z58" s="57"/>
      <c r="AA58" s="57"/>
      <c r="AB58" s="57"/>
      <c r="AC58" s="57"/>
      <c r="AD58" s="45"/>
      <c r="AE58" s="65"/>
      <c r="AF58" s="56"/>
      <c r="AG58" s="57"/>
      <c r="AH58" s="57"/>
      <c r="AI58" s="57"/>
      <c r="AJ58" s="57"/>
      <c r="AK58" s="57"/>
      <c r="AL58" s="57"/>
      <c r="AM58" s="45"/>
      <c r="AN58" s="74"/>
      <c r="AO58" s="45"/>
      <c r="AP58" s="56"/>
      <c r="AQ58" s="57"/>
      <c r="AR58" s="57"/>
      <c r="AS58" s="57"/>
      <c r="AT58" s="57"/>
      <c r="AU58" s="57"/>
      <c r="AV58" s="57"/>
      <c r="AW58" s="45"/>
    </row>
    <row r="59" spans="1:49">
      <c r="A59" s="12" t="str">
        <f>Roster!A59</f>
        <v/>
      </c>
      <c r="B59" s="28">
        <f>Roster!C59</f>
        <v>0</v>
      </c>
      <c r="C59" s="55"/>
      <c r="D59" s="56"/>
      <c r="E59" s="57"/>
      <c r="F59" s="57"/>
      <c r="G59" s="57"/>
      <c r="H59" s="57"/>
      <c r="I59" s="57"/>
      <c r="J59" s="57"/>
      <c r="K59" s="45"/>
      <c r="L59" s="58"/>
      <c r="M59" s="56"/>
      <c r="N59" s="57"/>
      <c r="O59" s="57"/>
      <c r="P59" s="57"/>
      <c r="Q59" s="57"/>
      <c r="R59" s="57"/>
      <c r="S59" s="57"/>
      <c r="T59" s="45"/>
      <c r="U59" s="74"/>
      <c r="V59" s="45"/>
      <c r="W59" s="56"/>
      <c r="X59" s="57"/>
      <c r="Y59" s="57"/>
      <c r="Z59" s="57"/>
      <c r="AA59" s="57"/>
      <c r="AB59" s="57"/>
      <c r="AC59" s="57"/>
      <c r="AD59" s="45"/>
      <c r="AE59" s="65"/>
      <c r="AF59" s="56"/>
      <c r="AG59" s="57"/>
      <c r="AH59" s="57"/>
      <c r="AI59" s="57"/>
      <c r="AJ59" s="57"/>
      <c r="AK59" s="57"/>
      <c r="AL59" s="57"/>
      <c r="AM59" s="45"/>
      <c r="AN59" s="74"/>
      <c r="AO59" s="45"/>
      <c r="AP59" s="56"/>
      <c r="AQ59" s="57"/>
      <c r="AR59" s="57"/>
      <c r="AS59" s="57"/>
      <c r="AT59" s="57"/>
      <c r="AU59" s="57"/>
      <c r="AV59" s="57"/>
      <c r="AW59" s="45"/>
    </row>
    <row r="60" spans="1:49">
      <c r="A60" s="12" t="str">
        <f>Roster!A60</f>
        <v/>
      </c>
      <c r="B60" s="28">
        <f>Roster!C60</f>
        <v>0</v>
      </c>
      <c r="C60" s="55"/>
      <c r="D60" s="56"/>
      <c r="E60" s="57"/>
      <c r="F60" s="57"/>
      <c r="G60" s="57"/>
      <c r="H60" s="57"/>
      <c r="I60" s="57"/>
      <c r="J60" s="57"/>
      <c r="K60" s="45"/>
      <c r="L60" s="58"/>
      <c r="M60" s="56"/>
      <c r="N60" s="57"/>
      <c r="O60" s="57"/>
      <c r="P60" s="57"/>
      <c r="Q60" s="57"/>
      <c r="R60" s="57"/>
      <c r="S60" s="57"/>
      <c r="T60" s="45"/>
      <c r="U60" s="74"/>
      <c r="V60" s="45"/>
      <c r="W60" s="56"/>
      <c r="X60" s="57"/>
      <c r="Y60" s="57"/>
      <c r="Z60" s="57"/>
      <c r="AA60" s="57"/>
      <c r="AB60" s="57"/>
      <c r="AC60" s="57"/>
      <c r="AD60" s="45"/>
      <c r="AE60" s="65"/>
      <c r="AF60" s="56"/>
      <c r="AG60" s="57"/>
      <c r="AH60" s="57"/>
      <c r="AI60" s="57"/>
      <c r="AJ60" s="57"/>
      <c r="AK60" s="57"/>
      <c r="AL60" s="57"/>
      <c r="AM60" s="45"/>
      <c r="AN60" s="74"/>
      <c r="AO60" s="45"/>
      <c r="AP60" s="56"/>
      <c r="AQ60" s="57"/>
      <c r="AR60" s="57"/>
      <c r="AS60" s="57"/>
      <c r="AT60" s="57"/>
      <c r="AU60" s="57"/>
      <c r="AV60" s="57"/>
      <c r="AW60" s="45"/>
    </row>
    <row r="61" spans="1:49">
      <c r="A61" s="12" t="str">
        <f>Roster!A61</f>
        <v/>
      </c>
      <c r="B61" s="28">
        <f>Roster!C61</f>
        <v>0</v>
      </c>
      <c r="C61" s="55"/>
      <c r="D61" s="56"/>
      <c r="E61" s="57"/>
      <c r="F61" s="57"/>
      <c r="G61" s="57"/>
      <c r="H61" s="57"/>
      <c r="I61" s="57"/>
      <c r="J61" s="57"/>
      <c r="K61" s="45"/>
      <c r="L61" s="58"/>
      <c r="M61" s="56"/>
      <c r="N61" s="57"/>
      <c r="O61" s="57"/>
      <c r="P61" s="57"/>
      <c r="Q61" s="57"/>
      <c r="R61" s="57"/>
      <c r="S61" s="57"/>
      <c r="T61" s="45"/>
      <c r="U61" s="74"/>
      <c r="V61" s="45"/>
      <c r="W61" s="56"/>
      <c r="X61" s="57"/>
      <c r="Y61" s="57"/>
      <c r="Z61" s="57"/>
      <c r="AA61" s="57"/>
      <c r="AB61" s="57"/>
      <c r="AC61" s="57"/>
      <c r="AD61" s="45"/>
      <c r="AE61" s="65"/>
      <c r="AF61" s="56"/>
      <c r="AG61" s="57"/>
      <c r="AH61" s="57"/>
      <c r="AI61" s="57"/>
      <c r="AJ61" s="57"/>
      <c r="AK61" s="57"/>
      <c r="AL61" s="57"/>
      <c r="AM61" s="45"/>
      <c r="AN61" s="74"/>
      <c r="AO61" s="45"/>
      <c r="AP61" s="56"/>
      <c r="AQ61" s="57"/>
      <c r="AR61" s="57"/>
      <c r="AS61" s="57"/>
      <c r="AT61" s="57"/>
      <c r="AU61" s="57"/>
      <c r="AV61" s="57"/>
      <c r="AW61" s="45"/>
    </row>
    <row r="62" spans="1:49">
      <c r="A62" s="12" t="str">
        <f>Roster!A62</f>
        <v/>
      </c>
      <c r="B62" s="28">
        <f>Roster!C62</f>
        <v>0</v>
      </c>
      <c r="C62" s="55"/>
      <c r="D62" s="56"/>
      <c r="E62" s="57"/>
      <c r="F62" s="57"/>
      <c r="G62" s="57"/>
      <c r="H62" s="57"/>
      <c r="I62" s="57"/>
      <c r="J62" s="57"/>
      <c r="K62" s="45"/>
      <c r="L62" s="58"/>
      <c r="M62" s="56"/>
      <c r="N62" s="57"/>
      <c r="O62" s="57"/>
      <c r="P62" s="57"/>
      <c r="Q62" s="57"/>
      <c r="R62" s="57"/>
      <c r="S62" s="57"/>
      <c r="T62" s="45"/>
      <c r="U62" s="74"/>
      <c r="V62" s="45"/>
      <c r="W62" s="56"/>
      <c r="X62" s="57"/>
      <c r="Y62" s="57"/>
      <c r="Z62" s="57"/>
      <c r="AA62" s="57"/>
      <c r="AB62" s="57"/>
      <c r="AC62" s="57"/>
      <c r="AD62" s="45"/>
      <c r="AE62" s="65"/>
      <c r="AF62" s="56"/>
      <c r="AG62" s="57"/>
      <c r="AH62" s="57"/>
      <c r="AI62" s="57"/>
      <c r="AJ62" s="57"/>
      <c r="AK62" s="57"/>
      <c r="AL62" s="57"/>
      <c r="AM62" s="45"/>
      <c r="AN62" s="74"/>
      <c r="AO62" s="45"/>
      <c r="AP62" s="56"/>
      <c r="AQ62" s="57"/>
      <c r="AR62" s="57"/>
      <c r="AS62" s="57"/>
      <c r="AT62" s="57"/>
      <c r="AU62" s="57"/>
      <c r="AV62" s="57"/>
      <c r="AW62" s="45"/>
    </row>
    <row r="63" spans="1:49">
      <c r="A63" s="12" t="str">
        <f>Roster!A63</f>
        <v/>
      </c>
      <c r="B63" s="28">
        <f>Roster!C63</f>
        <v>0</v>
      </c>
      <c r="C63" s="55"/>
      <c r="D63" s="56"/>
      <c r="E63" s="57"/>
      <c r="F63" s="57"/>
      <c r="G63" s="57"/>
      <c r="H63" s="57"/>
      <c r="I63" s="57"/>
      <c r="J63" s="57"/>
      <c r="K63" s="45"/>
      <c r="L63" s="58"/>
      <c r="M63" s="56"/>
      <c r="N63" s="57"/>
      <c r="O63" s="57"/>
      <c r="P63" s="57"/>
      <c r="Q63" s="57"/>
      <c r="R63" s="57"/>
      <c r="S63" s="57"/>
      <c r="T63" s="45"/>
      <c r="U63" s="74"/>
      <c r="V63" s="45"/>
      <c r="W63" s="56"/>
      <c r="X63" s="57"/>
      <c r="Y63" s="57"/>
      <c r="Z63" s="57"/>
      <c r="AA63" s="57"/>
      <c r="AB63" s="57"/>
      <c r="AC63" s="57"/>
      <c r="AD63" s="45"/>
      <c r="AE63" s="65"/>
      <c r="AF63" s="56"/>
      <c r="AG63" s="57"/>
      <c r="AH63" s="57"/>
      <c r="AI63" s="57"/>
      <c r="AJ63" s="57"/>
      <c r="AK63" s="57"/>
      <c r="AL63" s="57"/>
      <c r="AM63" s="45"/>
      <c r="AN63" s="74"/>
      <c r="AO63" s="45"/>
      <c r="AP63" s="56"/>
      <c r="AQ63" s="57"/>
      <c r="AR63" s="57"/>
      <c r="AS63" s="57"/>
      <c r="AT63" s="57"/>
      <c r="AU63" s="57"/>
      <c r="AV63" s="57"/>
      <c r="AW63" s="45"/>
    </row>
    <row r="64" spans="1:49">
      <c r="A64" s="12" t="str">
        <f>Roster!A64</f>
        <v/>
      </c>
      <c r="B64" s="28">
        <f>Roster!C64</f>
        <v>0</v>
      </c>
      <c r="C64" s="55"/>
      <c r="D64" s="56"/>
      <c r="E64" s="57"/>
      <c r="F64" s="57"/>
      <c r="G64" s="57"/>
      <c r="H64" s="57"/>
      <c r="I64" s="57"/>
      <c r="J64" s="57"/>
      <c r="K64" s="45"/>
      <c r="L64" s="58"/>
      <c r="M64" s="56"/>
      <c r="N64" s="57"/>
      <c r="O64" s="57"/>
      <c r="P64" s="57"/>
      <c r="Q64" s="57"/>
      <c r="R64" s="57"/>
      <c r="S64" s="57"/>
      <c r="T64" s="45"/>
      <c r="U64" s="74"/>
      <c r="V64" s="45"/>
      <c r="W64" s="56"/>
      <c r="X64" s="57"/>
      <c r="Y64" s="57"/>
      <c r="Z64" s="57"/>
      <c r="AA64" s="57"/>
      <c r="AB64" s="57"/>
      <c r="AC64" s="57"/>
      <c r="AD64" s="45"/>
      <c r="AE64" s="65"/>
      <c r="AF64" s="56"/>
      <c r="AG64" s="57"/>
      <c r="AH64" s="57"/>
      <c r="AI64" s="57"/>
      <c r="AJ64" s="57"/>
      <c r="AK64" s="57"/>
      <c r="AL64" s="57"/>
      <c r="AM64" s="45"/>
      <c r="AN64" s="74"/>
      <c r="AO64" s="45"/>
      <c r="AP64" s="56"/>
      <c r="AQ64" s="57"/>
      <c r="AR64" s="57"/>
      <c r="AS64" s="57"/>
      <c r="AT64" s="57"/>
      <c r="AU64" s="57"/>
      <c r="AV64" s="57"/>
      <c r="AW64" s="45"/>
    </row>
    <row r="65" spans="1:49">
      <c r="A65" s="12" t="str">
        <f>Roster!A65</f>
        <v/>
      </c>
      <c r="B65" s="28">
        <f>Roster!C65</f>
        <v>0</v>
      </c>
      <c r="C65" s="55"/>
      <c r="D65" s="56"/>
      <c r="E65" s="57"/>
      <c r="F65" s="57"/>
      <c r="G65" s="57"/>
      <c r="H65" s="57"/>
      <c r="I65" s="57"/>
      <c r="J65" s="57"/>
      <c r="K65" s="45"/>
      <c r="L65" s="58"/>
      <c r="M65" s="56"/>
      <c r="N65" s="57"/>
      <c r="O65" s="57"/>
      <c r="P65" s="57"/>
      <c r="Q65" s="57"/>
      <c r="R65" s="57"/>
      <c r="S65" s="57"/>
      <c r="T65" s="45"/>
      <c r="U65" s="74"/>
      <c r="V65" s="45"/>
      <c r="W65" s="56"/>
      <c r="X65" s="57"/>
      <c r="Y65" s="57"/>
      <c r="Z65" s="57"/>
      <c r="AA65" s="57"/>
      <c r="AB65" s="57"/>
      <c r="AC65" s="57"/>
      <c r="AD65" s="45"/>
      <c r="AE65" s="65"/>
      <c r="AF65" s="56"/>
      <c r="AG65" s="57"/>
      <c r="AH65" s="57"/>
      <c r="AI65" s="57"/>
      <c r="AJ65" s="57"/>
      <c r="AK65" s="57"/>
      <c r="AL65" s="57"/>
      <c r="AM65" s="45"/>
      <c r="AN65" s="74"/>
      <c r="AO65" s="45"/>
      <c r="AP65" s="56"/>
      <c r="AQ65" s="57"/>
      <c r="AR65" s="57"/>
      <c r="AS65" s="57"/>
      <c r="AT65" s="57"/>
      <c r="AU65" s="57"/>
      <c r="AV65" s="57"/>
      <c r="AW65" s="45"/>
    </row>
    <row r="66" spans="1:49">
      <c r="A66" s="12" t="str">
        <f>Roster!A66</f>
        <v/>
      </c>
      <c r="B66" s="28">
        <f>Roster!C66</f>
        <v>0</v>
      </c>
      <c r="C66" s="55"/>
      <c r="D66" s="56"/>
      <c r="E66" s="57"/>
      <c r="F66" s="57"/>
      <c r="G66" s="57"/>
      <c r="H66" s="57"/>
      <c r="I66" s="57"/>
      <c r="J66" s="57"/>
      <c r="K66" s="45"/>
      <c r="L66" s="58"/>
      <c r="M66" s="56"/>
      <c r="N66" s="57"/>
      <c r="O66" s="57"/>
      <c r="P66" s="57"/>
      <c r="Q66" s="57"/>
      <c r="R66" s="57"/>
      <c r="S66" s="57"/>
      <c r="T66" s="45"/>
      <c r="U66" s="74"/>
      <c r="V66" s="45"/>
      <c r="W66" s="56"/>
      <c r="X66" s="57"/>
      <c r="Y66" s="57"/>
      <c r="Z66" s="57"/>
      <c r="AA66" s="57"/>
      <c r="AB66" s="57"/>
      <c r="AC66" s="57"/>
      <c r="AD66" s="45"/>
      <c r="AE66" s="65"/>
      <c r="AF66" s="56"/>
      <c r="AG66" s="57"/>
      <c r="AH66" s="57"/>
      <c r="AI66" s="57"/>
      <c r="AJ66" s="57"/>
      <c r="AK66" s="57"/>
      <c r="AL66" s="57"/>
      <c r="AM66" s="45"/>
      <c r="AN66" s="74"/>
      <c r="AO66" s="45"/>
      <c r="AP66" s="56"/>
      <c r="AQ66" s="57"/>
      <c r="AR66" s="57"/>
      <c r="AS66" s="57"/>
      <c r="AT66" s="57"/>
      <c r="AU66" s="57"/>
      <c r="AV66" s="57"/>
      <c r="AW66" s="45"/>
    </row>
    <row r="67" spans="1:49">
      <c r="A67" s="12" t="str">
        <f>Roster!A67</f>
        <v/>
      </c>
      <c r="B67" s="28">
        <f>Roster!C67</f>
        <v>0</v>
      </c>
      <c r="C67" s="55"/>
      <c r="D67" s="56"/>
      <c r="E67" s="57"/>
      <c r="F67" s="57"/>
      <c r="G67" s="57"/>
      <c r="H67" s="57"/>
      <c r="I67" s="57"/>
      <c r="J67" s="57"/>
      <c r="K67" s="45"/>
      <c r="L67" s="58"/>
      <c r="M67" s="56"/>
      <c r="N67" s="57"/>
      <c r="O67" s="57"/>
      <c r="P67" s="57"/>
      <c r="Q67" s="57"/>
      <c r="R67" s="57"/>
      <c r="S67" s="57"/>
      <c r="T67" s="45"/>
      <c r="U67" s="74"/>
      <c r="V67" s="45"/>
      <c r="W67" s="56"/>
      <c r="X67" s="57"/>
      <c r="Y67" s="57"/>
      <c r="Z67" s="57"/>
      <c r="AA67" s="57"/>
      <c r="AB67" s="57"/>
      <c r="AC67" s="57"/>
      <c r="AD67" s="45"/>
      <c r="AE67" s="65"/>
      <c r="AF67" s="56"/>
      <c r="AG67" s="57"/>
      <c r="AH67" s="57"/>
      <c r="AI67" s="57"/>
      <c r="AJ67" s="57"/>
      <c r="AK67" s="57"/>
      <c r="AL67" s="57"/>
      <c r="AM67" s="45"/>
      <c r="AN67" s="74"/>
      <c r="AO67" s="45"/>
      <c r="AP67" s="56"/>
      <c r="AQ67" s="57"/>
      <c r="AR67" s="57"/>
      <c r="AS67" s="57"/>
      <c r="AT67" s="57"/>
      <c r="AU67" s="57"/>
      <c r="AV67" s="57"/>
      <c r="AW67" s="45"/>
    </row>
    <row r="68" spans="1:49">
      <c r="A68" s="12" t="str">
        <f>Roster!A68</f>
        <v/>
      </c>
      <c r="B68" s="28">
        <f>Roster!C68</f>
        <v>0</v>
      </c>
      <c r="C68" s="55"/>
      <c r="D68" s="56"/>
      <c r="E68" s="57"/>
      <c r="F68" s="57"/>
      <c r="G68" s="57"/>
      <c r="H68" s="57"/>
      <c r="I68" s="57"/>
      <c r="J68" s="57"/>
      <c r="K68" s="45"/>
      <c r="L68" s="58"/>
      <c r="M68" s="56"/>
      <c r="N68" s="57"/>
      <c r="O68" s="57"/>
      <c r="P68" s="57"/>
      <c r="Q68" s="57"/>
      <c r="R68" s="57"/>
      <c r="S68" s="57"/>
      <c r="T68" s="45"/>
      <c r="U68" s="74"/>
      <c r="V68" s="45"/>
      <c r="W68" s="56"/>
      <c r="X68" s="57"/>
      <c r="Y68" s="57"/>
      <c r="Z68" s="57"/>
      <c r="AA68" s="57"/>
      <c r="AB68" s="57"/>
      <c r="AC68" s="57"/>
      <c r="AD68" s="45"/>
      <c r="AE68" s="65"/>
      <c r="AF68" s="56"/>
      <c r="AG68" s="57"/>
      <c r="AH68" s="57"/>
      <c r="AI68" s="57"/>
      <c r="AJ68" s="57"/>
      <c r="AK68" s="57"/>
      <c r="AL68" s="57"/>
      <c r="AM68" s="45"/>
      <c r="AN68" s="74"/>
      <c r="AO68" s="45"/>
      <c r="AP68" s="56"/>
      <c r="AQ68" s="57"/>
      <c r="AR68" s="57"/>
      <c r="AS68" s="57"/>
      <c r="AT68" s="57"/>
      <c r="AU68" s="57"/>
      <c r="AV68" s="57"/>
      <c r="AW68" s="45"/>
    </row>
    <row r="69" spans="1:49">
      <c r="A69" s="12" t="str">
        <f>Roster!A69</f>
        <v/>
      </c>
      <c r="B69" s="28">
        <f>Roster!C69</f>
        <v>0</v>
      </c>
      <c r="C69" s="55"/>
      <c r="D69" s="56"/>
      <c r="E69" s="57"/>
      <c r="F69" s="57"/>
      <c r="G69" s="57"/>
      <c r="H69" s="57"/>
      <c r="I69" s="57"/>
      <c r="J69" s="57"/>
      <c r="K69" s="45"/>
      <c r="L69" s="58"/>
      <c r="M69" s="56"/>
      <c r="N69" s="57"/>
      <c r="O69" s="57"/>
      <c r="P69" s="57"/>
      <c r="Q69" s="57"/>
      <c r="R69" s="57"/>
      <c r="S69" s="57"/>
      <c r="T69" s="45"/>
      <c r="U69" s="74"/>
      <c r="V69" s="45"/>
      <c r="W69" s="56"/>
      <c r="X69" s="57"/>
      <c r="Y69" s="57"/>
      <c r="Z69" s="57"/>
      <c r="AA69" s="57"/>
      <c r="AB69" s="57"/>
      <c r="AC69" s="57"/>
      <c r="AD69" s="45"/>
      <c r="AE69" s="65"/>
      <c r="AF69" s="56"/>
      <c r="AG69" s="57"/>
      <c r="AH69" s="57"/>
      <c r="AI69" s="57"/>
      <c r="AJ69" s="57"/>
      <c r="AK69" s="57"/>
      <c r="AL69" s="57"/>
      <c r="AM69" s="45"/>
      <c r="AN69" s="74"/>
      <c r="AO69" s="45"/>
      <c r="AP69" s="56"/>
      <c r="AQ69" s="57"/>
      <c r="AR69" s="57"/>
      <c r="AS69" s="57"/>
      <c r="AT69" s="57"/>
      <c r="AU69" s="57"/>
      <c r="AV69" s="57"/>
      <c r="AW69" s="45"/>
    </row>
    <row r="70" spans="1:49">
      <c r="A70" s="12" t="str">
        <f>Roster!A70</f>
        <v/>
      </c>
      <c r="B70" s="28">
        <f>Roster!C70</f>
        <v>0</v>
      </c>
      <c r="C70" s="55"/>
      <c r="D70" s="56"/>
      <c r="E70" s="57"/>
      <c r="F70" s="57"/>
      <c r="G70" s="57"/>
      <c r="H70" s="57"/>
      <c r="I70" s="57"/>
      <c r="J70" s="57"/>
      <c r="K70" s="45"/>
      <c r="L70" s="58"/>
      <c r="M70" s="56"/>
      <c r="N70" s="57"/>
      <c r="O70" s="57"/>
      <c r="P70" s="57"/>
      <c r="Q70" s="57"/>
      <c r="R70" s="57"/>
      <c r="S70" s="57"/>
      <c r="T70" s="45"/>
      <c r="U70" s="74"/>
      <c r="V70" s="45"/>
      <c r="W70" s="56"/>
      <c r="X70" s="57"/>
      <c r="Y70" s="57"/>
      <c r="Z70" s="57"/>
      <c r="AA70" s="57"/>
      <c r="AB70" s="57"/>
      <c r="AC70" s="57"/>
      <c r="AD70" s="45"/>
      <c r="AE70" s="65"/>
      <c r="AF70" s="56"/>
      <c r="AG70" s="57"/>
      <c r="AH70" s="57"/>
      <c r="AI70" s="57"/>
      <c r="AJ70" s="57"/>
      <c r="AK70" s="57"/>
      <c r="AL70" s="57"/>
      <c r="AM70" s="45"/>
      <c r="AN70" s="74"/>
      <c r="AO70" s="45"/>
      <c r="AP70" s="56"/>
      <c r="AQ70" s="57"/>
      <c r="AR70" s="57"/>
      <c r="AS70" s="57"/>
      <c r="AT70" s="57"/>
      <c r="AU70" s="57"/>
      <c r="AV70" s="57"/>
      <c r="AW70" s="45"/>
    </row>
    <row r="71" spans="1:49">
      <c r="A71" s="12" t="str">
        <f>Roster!A71</f>
        <v/>
      </c>
      <c r="B71" s="28">
        <f>Roster!C71</f>
        <v>0</v>
      </c>
      <c r="C71" s="55"/>
      <c r="D71" s="56"/>
      <c r="E71" s="57"/>
      <c r="F71" s="57"/>
      <c r="G71" s="57"/>
      <c r="H71" s="57"/>
      <c r="I71" s="57"/>
      <c r="J71" s="57"/>
      <c r="K71" s="45"/>
      <c r="L71" s="58"/>
      <c r="M71" s="56"/>
      <c r="N71" s="57"/>
      <c r="O71" s="57"/>
      <c r="P71" s="57"/>
      <c r="Q71" s="57"/>
      <c r="R71" s="57"/>
      <c r="S71" s="57"/>
      <c r="T71" s="45"/>
      <c r="U71" s="74"/>
      <c r="V71" s="45"/>
      <c r="W71" s="56"/>
      <c r="X71" s="57"/>
      <c r="Y71" s="57"/>
      <c r="Z71" s="57"/>
      <c r="AA71" s="57"/>
      <c r="AB71" s="57"/>
      <c r="AC71" s="57"/>
      <c r="AD71" s="45"/>
      <c r="AE71" s="65"/>
      <c r="AF71" s="56"/>
      <c r="AG71" s="57"/>
      <c r="AH71" s="57"/>
      <c r="AI71" s="57"/>
      <c r="AJ71" s="57"/>
      <c r="AK71" s="57"/>
      <c r="AL71" s="57"/>
      <c r="AM71" s="45"/>
      <c r="AN71" s="74"/>
      <c r="AO71" s="45"/>
      <c r="AP71" s="56"/>
      <c r="AQ71" s="57"/>
      <c r="AR71" s="57"/>
      <c r="AS71" s="57"/>
      <c r="AT71" s="57"/>
      <c r="AU71" s="57"/>
      <c r="AV71" s="57"/>
      <c r="AW71" s="45"/>
    </row>
    <row r="72" spans="1:49">
      <c r="A72" s="12" t="str">
        <f>Roster!A72</f>
        <v/>
      </c>
      <c r="B72" s="28">
        <f>Roster!C72</f>
        <v>0</v>
      </c>
      <c r="C72" s="55"/>
      <c r="D72" s="56"/>
      <c r="E72" s="57"/>
      <c r="F72" s="57"/>
      <c r="G72" s="57"/>
      <c r="H72" s="57"/>
      <c r="I72" s="57"/>
      <c r="J72" s="57"/>
      <c r="K72" s="45"/>
      <c r="L72" s="58"/>
      <c r="M72" s="56"/>
      <c r="N72" s="57"/>
      <c r="O72" s="57"/>
      <c r="P72" s="57"/>
      <c r="Q72" s="57"/>
      <c r="R72" s="57"/>
      <c r="S72" s="57"/>
      <c r="T72" s="45"/>
      <c r="U72" s="74"/>
      <c r="V72" s="45"/>
      <c r="W72" s="56"/>
      <c r="X72" s="57"/>
      <c r="Y72" s="57"/>
      <c r="Z72" s="57"/>
      <c r="AA72" s="57"/>
      <c r="AB72" s="57"/>
      <c r="AC72" s="57"/>
      <c r="AD72" s="45"/>
      <c r="AE72" s="65"/>
      <c r="AF72" s="56"/>
      <c r="AG72" s="57"/>
      <c r="AH72" s="57"/>
      <c r="AI72" s="57"/>
      <c r="AJ72" s="57"/>
      <c r="AK72" s="57"/>
      <c r="AL72" s="57"/>
      <c r="AM72" s="45"/>
      <c r="AN72" s="74"/>
      <c r="AO72" s="45"/>
      <c r="AP72" s="56"/>
      <c r="AQ72" s="57"/>
      <c r="AR72" s="57"/>
      <c r="AS72" s="57"/>
      <c r="AT72" s="57"/>
      <c r="AU72" s="57"/>
      <c r="AV72" s="57"/>
      <c r="AW72" s="45"/>
    </row>
    <row r="73" spans="1:49">
      <c r="A73" s="12" t="str">
        <f>Roster!A73</f>
        <v/>
      </c>
      <c r="B73" s="28">
        <f>Roster!C73</f>
        <v>0</v>
      </c>
      <c r="C73" s="55"/>
      <c r="D73" s="56"/>
      <c r="E73" s="57"/>
      <c r="F73" s="57"/>
      <c r="G73" s="57"/>
      <c r="H73" s="57"/>
      <c r="I73" s="57"/>
      <c r="J73" s="57"/>
      <c r="K73" s="45"/>
      <c r="L73" s="58"/>
      <c r="M73" s="56"/>
      <c r="N73" s="57"/>
      <c r="O73" s="57"/>
      <c r="P73" s="57"/>
      <c r="Q73" s="57"/>
      <c r="R73" s="57"/>
      <c r="S73" s="57"/>
      <c r="T73" s="45"/>
      <c r="U73" s="74"/>
      <c r="V73" s="45"/>
      <c r="W73" s="56"/>
      <c r="X73" s="57"/>
      <c r="Y73" s="57"/>
      <c r="Z73" s="57"/>
      <c r="AA73" s="57"/>
      <c r="AB73" s="57"/>
      <c r="AC73" s="57"/>
      <c r="AD73" s="45"/>
      <c r="AE73" s="65"/>
      <c r="AF73" s="56"/>
      <c r="AG73" s="57"/>
      <c r="AH73" s="57"/>
      <c r="AI73" s="57"/>
      <c r="AJ73" s="57"/>
      <c r="AK73" s="57"/>
      <c r="AL73" s="57"/>
      <c r="AM73" s="45"/>
      <c r="AN73" s="74"/>
      <c r="AO73" s="45"/>
      <c r="AP73" s="56"/>
      <c r="AQ73" s="57"/>
      <c r="AR73" s="57"/>
      <c r="AS73" s="57"/>
      <c r="AT73" s="57"/>
      <c r="AU73" s="57"/>
      <c r="AV73" s="57"/>
      <c r="AW73" s="45"/>
    </row>
    <row r="74" spans="1:49">
      <c r="A74" s="12" t="str">
        <f>Roster!A74</f>
        <v/>
      </c>
      <c r="B74" s="28">
        <f>Roster!C74</f>
        <v>0</v>
      </c>
      <c r="C74" s="55"/>
      <c r="D74" s="56"/>
      <c r="E74" s="57"/>
      <c r="F74" s="57"/>
      <c r="G74" s="57"/>
      <c r="H74" s="57"/>
      <c r="I74" s="57"/>
      <c r="J74" s="57"/>
      <c r="K74" s="45"/>
      <c r="L74" s="58"/>
      <c r="M74" s="56"/>
      <c r="N74" s="57"/>
      <c r="O74" s="57"/>
      <c r="P74" s="57"/>
      <c r="Q74" s="57"/>
      <c r="R74" s="57"/>
      <c r="S74" s="57"/>
      <c r="T74" s="45"/>
      <c r="U74" s="74"/>
      <c r="V74" s="45"/>
      <c r="W74" s="56"/>
      <c r="X74" s="57"/>
      <c r="Y74" s="57"/>
      <c r="Z74" s="57"/>
      <c r="AA74" s="57"/>
      <c r="AB74" s="57"/>
      <c r="AC74" s="57"/>
      <c r="AD74" s="45"/>
      <c r="AE74" s="65"/>
      <c r="AF74" s="56"/>
      <c r="AG74" s="57"/>
      <c r="AH74" s="57"/>
      <c r="AI74" s="57"/>
      <c r="AJ74" s="57"/>
      <c r="AK74" s="57"/>
      <c r="AL74" s="57"/>
      <c r="AM74" s="45"/>
      <c r="AN74" s="74"/>
      <c r="AO74" s="45"/>
      <c r="AP74" s="56"/>
      <c r="AQ74" s="57"/>
      <c r="AR74" s="57"/>
      <c r="AS74" s="57"/>
      <c r="AT74" s="57"/>
      <c r="AU74" s="57"/>
      <c r="AV74" s="57"/>
      <c r="AW74" s="45"/>
    </row>
    <row r="75" spans="1:49">
      <c r="A75" s="12" t="str">
        <f>Roster!A75</f>
        <v/>
      </c>
      <c r="B75" s="28">
        <f>Roster!C75</f>
        <v>0</v>
      </c>
      <c r="C75" s="55"/>
      <c r="D75" s="56"/>
      <c r="E75" s="57"/>
      <c r="F75" s="57"/>
      <c r="G75" s="57"/>
      <c r="H75" s="57"/>
      <c r="I75" s="57"/>
      <c r="J75" s="57"/>
      <c r="K75" s="45"/>
      <c r="L75" s="58"/>
      <c r="M75" s="56"/>
      <c r="N75" s="57"/>
      <c r="O75" s="57"/>
      <c r="P75" s="57"/>
      <c r="Q75" s="57"/>
      <c r="R75" s="57"/>
      <c r="S75" s="57"/>
      <c r="T75" s="45"/>
      <c r="U75" s="74"/>
      <c r="V75" s="45"/>
      <c r="W75" s="56"/>
      <c r="X75" s="57"/>
      <c r="Y75" s="57"/>
      <c r="Z75" s="57"/>
      <c r="AA75" s="57"/>
      <c r="AB75" s="57"/>
      <c r="AC75" s="57"/>
      <c r="AD75" s="45"/>
      <c r="AE75" s="65"/>
      <c r="AF75" s="56"/>
      <c r="AG75" s="57"/>
      <c r="AH75" s="57"/>
      <c r="AI75" s="57"/>
      <c r="AJ75" s="57"/>
      <c r="AK75" s="57"/>
      <c r="AL75" s="57"/>
      <c r="AM75" s="45"/>
      <c r="AN75" s="74"/>
      <c r="AO75" s="45"/>
      <c r="AP75" s="56"/>
      <c r="AQ75" s="57"/>
      <c r="AR75" s="57"/>
      <c r="AS75" s="57"/>
      <c r="AT75" s="57"/>
      <c r="AU75" s="57"/>
      <c r="AV75" s="57"/>
      <c r="AW75" s="45"/>
    </row>
    <row r="76" spans="1:49">
      <c r="A76" s="12" t="str">
        <f>Roster!A76</f>
        <v/>
      </c>
      <c r="B76" s="28">
        <f>Roster!C76</f>
        <v>0</v>
      </c>
      <c r="C76" s="55"/>
      <c r="D76" s="56"/>
      <c r="E76" s="57"/>
      <c r="F76" s="57"/>
      <c r="G76" s="57"/>
      <c r="H76" s="57"/>
      <c r="I76" s="57"/>
      <c r="J76" s="57"/>
      <c r="K76" s="45"/>
      <c r="L76" s="58"/>
      <c r="M76" s="56"/>
      <c r="N76" s="57"/>
      <c r="O76" s="57"/>
      <c r="P76" s="57"/>
      <c r="Q76" s="57"/>
      <c r="R76" s="57"/>
      <c r="S76" s="57"/>
      <c r="T76" s="45"/>
      <c r="U76" s="74"/>
      <c r="V76" s="45"/>
      <c r="W76" s="56"/>
      <c r="X76" s="57"/>
      <c r="Y76" s="57"/>
      <c r="Z76" s="57"/>
      <c r="AA76" s="57"/>
      <c r="AB76" s="57"/>
      <c r="AC76" s="57"/>
      <c r="AD76" s="45"/>
      <c r="AE76" s="65"/>
      <c r="AF76" s="56"/>
      <c r="AG76" s="57"/>
      <c r="AH76" s="57"/>
      <c r="AI76" s="57"/>
      <c r="AJ76" s="57"/>
      <c r="AK76" s="57"/>
      <c r="AL76" s="57"/>
      <c r="AM76" s="45"/>
      <c r="AN76" s="74"/>
      <c r="AO76" s="45"/>
      <c r="AP76" s="56"/>
      <c r="AQ76" s="57"/>
      <c r="AR76" s="57"/>
      <c r="AS76" s="57"/>
      <c r="AT76" s="57"/>
      <c r="AU76" s="57"/>
      <c r="AV76" s="57"/>
      <c r="AW76" s="45"/>
    </row>
    <row r="77" spans="1:49">
      <c r="A77" s="12" t="str">
        <f>Roster!A77</f>
        <v/>
      </c>
      <c r="B77" s="28">
        <f>Roster!C77</f>
        <v>0</v>
      </c>
      <c r="C77" s="55"/>
      <c r="D77" s="56"/>
      <c r="E77" s="57"/>
      <c r="F77" s="57"/>
      <c r="G77" s="57"/>
      <c r="H77" s="57"/>
      <c r="I77" s="57"/>
      <c r="J77" s="57"/>
      <c r="K77" s="45"/>
      <c r="L77" s="58"/>
      <c r="M77" s="56"/>
      <c r="N77" s="57"/>
      <c r="O77" s="57"/>
      <c r="P77" s="57"/>
      <c r="Q77" s="57"/>
      <c r="R77" s="57"/>
      <c r="S77" s="57"/>
      <c r="T77" s="45"/>
      <c r="U77" s="74"/>
      <c r="V77" s="45"/>
      <c r="W77" s="56"/>
      <c r="X77" s="57"/>
      <c r="Y77" s="57"/>
      <c r="Z77" s="57"/>
      <c r="AA77" s="57"/>
      <c r="AB77" s="57"/>
      <c r="AC77" s="57"/>
      <c r="AD77" s="45"/>
      <c r="AE77" s="65"/>
      <c r="AF77" s="56"/>
      <c r="AG77" s="57"/>
      <c r="AH77" s="57"/>
      <c r="AI77" s="57"/>
      <c r="AJ77" s="57"/>
      <c r="AK77" s="57"/>
      <c r="AL77" s="57"/>
      <c r="AM77" s="45"/>
      <c r="AN77" s="74"/>
      <c r="AO77" s="45"/>
      <c r="AP77" s="56"/>
      <c r="AQ77" s="57"/>
      <c r="AR77" s="57"/>
      <c r="AS77" s="57"/>
      <c r="AT77" s="57"/>
      <c r="AU77" s="57"/>
      <c r="AV77" s="57"/>
      <c r="AW77" s="45"/>
    </row>
    <row r="78" spans="1:49">
      <c r="A78" s="12" t="str">
        <f>Roster!A78</f>
        <v/>
      </c>
      <c r="B78" s="28">
        <f>Roster!C78</f>
        <v>0</v>
      </c>
      <c r="C78" s="55"/>
      <c r="D78" s="56"/>
      <c r="E78" s="57"/>
      <c r="F78" s="57"/>
      <c r="G78" s="57"/>
      <c r="H78" s="57"/>
      <c r="I78" s="57"/>
      <c r="J78" s="57"/>
      <c r="K78" s="45"/>
      <c r="L78" s="58"/>
      <c r="M78" s="56"/>
      <c r="N78" s="57"/>
      <c r="O78" s="57"/>
      <c r="P78" s="57"/>
      <c r="Q78" s="57"/>
      <c r="R78" s="57"/>
      <c r="S78" s="57"/>
      <c r="T78" s="45"/>
      <c r="U78" s="74"/>
      <c r="V78" s="45"/>
      <c r="W78" s="56"/>
      <c r="X78" s="57"/>
      <c r="Y78" s="57"/>
      <c r="Z78" s="57"/>
      <c r="AA78" s="57"/>
      <c r="AB78" s="57"/>
      <c r="AC78" s="57"/>
      <c r="AD78" s="45"/>
      <c r="AE78" s="65"/>
      <c r="AF78" s="56"/>
      <c r="AG78" s="57"/>
      <c r="AH78" s="57"/>
      <c r="AI78" s="57"/>
      <c r="AJ78" s="57"/>
      <c r="AK78" s="57"/>
      <c r="AL78" s="57"/>
      <c r="AM78" s="45"/>
      <c r="AN78" s="74"/>
      <c r="AO78" s="45"/>
      <c r="AP78" s="56"/>
      <c r="AQ78" s="57"/>
      <c r="AR78" s="57"/>
      <c r="AS78" s="57"/>
      <c r="AT78" s="57"/>
      <c r="AU78" s="57"/>
      <c r="AV78" s="57"/>
      <c r="AW78" s="45"/>
    </row>
    <row r="79" spans="1:49">
      <c r="A79" s="12" t="str">
        <f>Roster!A79</f>
        <v/>
      </c>
      <c r="B79" s="28">
        <f>Roster!C79</f>
        <v>0</v>
      </c>
      <c r="C79" s="55"/>
      <c r="D79" s="56"/>
      <c r="E79" s="57"/>
      <c r="F79" s="57"/>
      <c r="G79" s="57"/>
      <c r="H79" s="57"/>
      <c r="I79" s="57"/>
      <c r="J79" s="57"/>
      <c r="K79" s="45"/>
      <c r="L79" s="58"/>
      <c r="M79" s="56"/>
      <c r="N79" s="57"/>
      <c r="O79" s="57"/>
      <c r="P79" s="57"/>
      <c r="Q79" s="57"/>
      <c r="R79" s="57"/>
      <c r="S79" s="57"/>
      <c r="T79" s="45"/>
      <c r="U79" s="74"/>
      <c r="V79" s="45"/>
      <c r="W79" s="56"/>
      <c r="X79" s="57"/>
      <c r="Y79" s="57"/>
      <c r="Z79" s="57"/>
      <c r="AA79" s="57"/>
      <c r="AB79" s="57"/>
      <c r="AC79" s="57"/>
      <c r="AD79" s="45"/>
      <c r="AE79" s="65"/>
      <c r="AF79" s="56"/>
      <c r="AG79" s="57"/>
      <c r="AH79" s="57"/>
      <c r="AI79" s="57"/>
      <c r="AJ79" s="57"/>
      <c r="AK79" s="57"/>
      <c r="AL79" s="57"/>
      <c r="AM79" s="45"/>
      <c r="AN79" s="74"/>
      <c r="AO79" s="45"/>
      <c r="AP79" s="56"/>
      <c r="AQ79" s="57"/>
      <c r="AR79" s="57"/>
      <c r="AS79" s="57"/>
      <c r="AT79" s="57"/>
      <c r="AU79" s="57"/>
      <c r="AV79" s="57"/>
      <c r="AW79" s="45"/>
    </row>
    <row r="80" spans="1:49">
      <c r="A80" s="12" t="str">
        <f>Roster!A80</f>
        <v/>
      </c>
      <c r="B80" s="28">
        <f>Roster!C80</f>
        <v>0</v>
      </c>
      <c r="C80" s="55"/>
      <c r="D80" s="56"/>
      <c r="E80" s="57"/>
      <c r="F80" s="57"/>
      <c r="G80" s="57"/>
      <c r="H80" s="57"/>
      <c r="I80" s="57"/>
      <c r="J80" s="57"/>
      <c r="K80" s="45"/>
      <c r="L80" s="58"/>
      <c r="M80" s="56"/>
      <c r="N80" s="57"/>
      <c r="O80" s="57"/>
      <c r="P80" s="57"/>
      <c r="Q80" s="57"/>
      <c r="R80" s="57"/>
      <c r="S80" s="57"/>
      <c r="T80" s="45"/>
      <c r="U80" s="74"/>
      <c r="V80" s="45"/>
      <c r="W80" s="56"/>
      <c r="X80" s="57"/>
      <c r="Y80" s="57"/>
      <c r="Z80" s="57"/>
      <c r="AA80" s="57"/>
      <c r="AB80" s="57"/>
      <c r="AC80" s="57"/>
      <c r="AD80" s="45"/>
      <c r="AE80" s="65"/>
      <c r="AF80" s="56"/>
      <c r="AG80" s="57"/>
      <c r="AH80" s="57"/>
      <c r="AI80" s="57"/>
      <c r="AJ80" s="57"/>
      <c r="AK80" s="57"/>
      <c r="AL80" s="57"/>
      <c r="AM80" s="45"/>
      <c r="AN80" s="74"/>
      <c r="AO80" s="45"/>
      <c r="AP80" s="56"/>
      <c r="AQ80" s="57"/>
      <c r="AR80" s="57"/>
      <c r="AS80" s="57"/>
      <c r="AT80" s="57"/>
      <c r="AU80" s="57"/>
      <c r="AV80" s="57"/>
      <c r="AW80" s="45"/>
    </row>
    <row r="81" spans="1:49">
      <c r="A81" s="12" t="str">
        <f>Roster!A81</f>
        <v/>
      </c>
      <c r="B81" s="28">
        <f>Roster!C81</f>
        <v>0</v>
      </c>
      <c r="C81" s="55"/>
      <c r="D81" s="56"/>
      <c r="E81" s="57"/>
      <c r="F81" s="57"/>
      <c r="G81" s="57"/>
      <c r="H81" s="57"/>
      <c r="I81" s="57"/>
      <c r="J81" s="57"/>
      <c r="K81" s="45"/>
      <c r="L81" s="58"/>
      <c r="M81" s="56"/>
      <c r="N81" s="57"/>
      <c r="O81" s="57"/>
      <c r="P81" s="57"/>
      <c r="Q81" s="57"/>
      <c r="R81" s="57"/>
      <c r="S81" s="57"/>
      <c r="T81" s="45"/>
      <c r="U81" s="74"/>
      <c r="V81" s="45"/>
      <c r="W81" s="56"/>
      <c r="X81" s="57"/>
      <c r="Y81" s="57"/>
      <c r="Z81" s="57"/>
      <c r="AA81" s="57"/>
      <c r="AB81" s="57"/>
      <c r="AC81" s="57"/>
      <c r="AD81" s="45"/>
      <c r="AE81" s="65"/>
      <c r="AF81" s="56"/>
      <c r="AG81" s="57"/>
      <c r="AH81" s="57"/>
      <c r="AI81" s="57"/>
      <c r="AJ81" s="57"/>
      <c r="AK81" s="57"/>
      <c r="AL81" s="57"/>
      <c r="AM81" s="45"/>
      <c r="AN81" s="74"/>
      <c r="AO81" s="45"/>
      <c r="AP81" s="56"/>
      <c r="AQ81" s="57"/>
      <c r="AR81" s="57"/>
      <c r="AS81" s="57"/>
      <c r="AT81" s="57"/>
      <c r="AU81" s="57"/>
      <c r="AV81" s="57"/>
      <c r="AW81" s="45"/>
    </row>
    <row r="82" spans="1:49">
      <c r="A82" s="12" t="str">
        <f>Roster!A82</f>
        <v/>
      </c>
      <c r="B82" s="28">
        <f>Roster!C82</f>
        <v>0</v>
      </c>
      <c r="C82" s="55"/>
      <c r="D82" s="56"/>
      <c r="E82" s="57"/>
      <c r="F82" s="57"/>
      <c r="G82" s="57"/>
      <c r="H82" s="57"/>
      <c r="I82" s="57"/>
      <c r="J82" s="57"/>
      <c r="K82" s="45"/>
      <c r="L82" s="58"/>
      <c r="M82" s="56"/>
      <c r="N82" s="57"/>
      <c r="O82" s="57"/>
      <c r="P82" s="57"/>
      <c r="Q82" s="57"/>
      <c r="R82" s="57"/>
      <c r="S82" s="57"/>
      <c r="T82" s="45"/>
      <c r="U82" s="74"/>
      <c r="V82" s="45"/>
      <c r="W82" s="56"/>
      <c r="X82" s="57"/>
      <c r="Y82" s="57"/>
      <c r="Z82" s="57"/>
      <c r="AA82" s="57"/>
      <c r="AB82" s="57"/>
      <c r="AC82" s="57"/>
      <c r="AD82" s="45"/>
      <c r="AE82" s="65"/>
      <c r="AF82" s="56"/>
      <c r="AG82" s="57"/>
      <c r="AH82" s="57"/>
      <c r="AI82" s="57"/>
      <c r="AJ82" s="57"/>
      <c r="AK82" s="57"/>
      <c r="AL82" s="57"/>
      <c r="AM82" s="45"/>
      <c r="AN82" s="74"/>
      <c r="AO82" s="45"/>
      <c r="AP82" s="56"/>
      <c r="AQ82" s="57"/>
      <c r="AR82" s="57"/>
      <c r="AS82" s="57"/>
      <c r="AT82" s="57"/>
      <c r="AU82" s="57"/>
      <c r="AV82" s="57"/>
      <c r="AW82" s="45"/>
    </row>
    <row r="83" spans="1:49">
      <c r="A83" s="12" t="str">
        <f>Roster!A83</f>
        <v/>
      </c>
      <c r="B83" s="28">
        <f>Roster!C83</f>
        <v>0</v>
      </c>
      <c r="C83" s="55"/>
      <c r="D83" s="56"/>
      <c r="E83" s="57"/>
      <c r="F83" s="57"/>
      <c r="G83" s="57"/>
      <c r="H83" s="57"/>
      <c r="I83" s="57"/>
      <c r="J83" s="57"/>
      <c r="K83" s="45"/>
      <c r="L83" s="58"/>
      <c r="M83" s="56"/>
      <c r="N83" s="57"/>
      <c r="O83" s="57"/>
      <c r="P83" s="57"/>
      <c r="Q83" s="57"/>
      <c r="R83" s="57"/>
      <c r="S83" s="57"/>
      <c r="T83" s="45"/>
      <c r="U83" s="74"/>
      <c r="V83" s="45"/>
      <c r="W83" s="56"/>
      <c r="X83" s="57"/>
      <c r="Y83" s="57"/>
      <c r="Z83" s="57"/>
      <c r="AA83" s="57"/>
      <c r="AB83" s="57"/>
      <c r="AC83" s="57"/>
      <c r="AD83" s="45"/>
      <c r="AE83" s="65"/>
      <c r="AF83" s="56"/>
      <c r="AG83" s="57"/>
      <c r="AH83" s="57"/>
      <c r="AI83" s="57"/>
      <c r="AJ83" s="57"/>
      <c r="AK83" s="57"/>
      <c r="AL83" s="57"/>
      <c r="AM83" s="45"/>
      <c r="AN83" s="74"/>
      <c r="AO83" s="45"/>
      <c r="AP83" s="56"/>
      <c r="AQ83" s="57"/>
      <c r="AR83" s="57"/>
      <c r="AS83" s="57"/>
      <c r="AT83" s="57"/>
      <c r="AU83" s="57"/>
      <c r="AV83" s="57"/>
      <c r="AW83" s="45"/>
    </row>
    <row r="84" spans="1:49">
      <c r="A84" s="12" t="str">
        <f>Roster!A84</f>
        <v/>
      </c>
      <c r="B84" s="28">
        <f>Roster!C84</f>
        <v>0</v>
      </c>
      <c r="C84" s="55"/>
      <c r="D84" s="56"/>
      <c r="E84" s="57"/>
      <c r="F84" s="57"/>
      <c r="G84" s="57"/>
      <c r="H84" s="57"/>
      <c r="I84" s="57"/>
      <c r="J84" s="57"/>
      <c r="K84" s="45"/>
      <c r="L84" s="58"/>
      <c r="M84" s="56"/>
      <c r="N84" s="57"/>
      <c r="O84" s="57"/>
      <c r="P84" s="57"/>
      <c r="Q84" s="57"/>
      <c r="R84" s="57"/>
      <c r="S84" s="57"/>
      <c r="T84" s="45"/>
      <c r="U84" s="74"/>
      <c r="V84" s="45"/>
      <c r="W84" s="56"/>
      <c r="X84" s="57"/>
      <c r="Y84" s="57"/>
      <c r="Z84" s="57"/>
      <c r="AA84" s="57"/>
      <c r="AB84" s="57"/>
      <c r="AC84" s="57"/>
      <c r="AD84" s="45"/>
      <c r="AE84" s="65"/>
      <c r="AF84" s="56"/>
      <c r="AG84" s="57"/>
      <c r="AH84" s="57"/>
      <c r="AI84" s="57"/>
      <c r="AJ84" s="57"/>
      <c r="AK84" s="57"/>
      <c r="AL84" s="57"/>
      <c r="AM84" s="45"/>
      <c r="AN84" s="74"/>
      <c r="AO84" s="45"/>
      <c r="AP84" s="56"/>
      <c r="AQ84" s="57"/>
      <c r="AR84" s="57"/>
      <c r="AS84" s="57"/>
      <c r="AT84" s="57"/>
      <c r="AU84" s="57"/>
      <c r="AV84" s="57"/>
      <c r="AW84" s="45"/>
    </row>
    <row r="85" spans="1:49">
      <c r="A85" s="12" t="str">
        <f>Roster!A85</f>
        <v/>
      </c>
      <c r="B85" s="28">
        <f>Roster!C85</f>
        <v>0</v>
      </c>
      <c r="C85" s="55"/>
      <c r="D85" s="56"/>
      <c r="E85" s="57"/>
      <c r="F85" s="57"/>
      <c r="G85" s="57"/>
      <c r="H85" s="57"/>
      <c r="I85" s="57"/>
      <c r="J85" s="57"/>
      <c r="K85" s="45"/>
      <c r="L85" s="58"/>
      <c r="M85" s="56"/>
      <c r="N85" s="57"/>
      <c r="O85" s="57"/>
      <c r="P85" s="57"/>
      <c r="Q85" s="57"/>
      <c r="R85" s="57"/>
      <c r="S85" s="57"/>
      <c r="T85" s="45"/>
      <c r="U85" s="74"/>
      <c r="V85" s="45"/>
      <c r="W85" s="56"/>
      <c r="X85" s="57"/>
      <c r="Y85" s="57"/>
      <c r="Z85" s="57"/>
      <c r="AA85" s="57"/>
      <c r="AB85" s="57"/>
      <c r="AC85" s="57"/>
      <c r="AD85" s="45"/>
      <c r="AE85" s="65"/>
      <c r="AF85" s="56"/>
      <c r="AG85" s="57"/>
      <c r="AH85" s="57"/>
      <c r="AI85" s="57"/>
      <c r="AJ85" s="57"/>
      <c r="AK85" s="57"/>
      <c r="AL85" s="57"/>
      <c r="AM85" s="45"/>
      <c r="AN85" s="74"/>
      <c r="AO85" s="45"/>
      <c r="AP85" s="56"/>
      <c r="AQ85" s="57"/>
      <c r="AR85" s="57"/>
      <c r="AS85" s="57"/>
      <c r="AT85" s="57"/>
      <c r="AU85" s="57"/>
      <c r="AV85" s="57"/>
      <c r="AW85" s="45"/>
    </row>
    <row r="86" spans="1:49">
      <c r="A86" s="12" t="str">
        <f>Roster!A86</f>
        <v/>
      </c>
      <c r="B86" s="28">
        <f>Roster!C86</f>
        <v>0</v>
      </c>
      <c r="C86" s="55"/>
      <c r="D86" s="56"/>
      <c r="E86" s="57"/>
      <c r="F86" s="57"/>
      <c r="G86" s="57"/>
      <c r="H86" s="57"/>
      <c r="I86" s="57"/>
      <c r="J86" s="57"/>
      <c r="K86" s="45"/>
      <c r="L86" s="58"/>
      <c r="M86" s="56"/>
      <c r="N86" s="57"/>
      <c r="O86" s="57"/>
      <c r="P86" s="57"/>
      <c r="Q86" s="57"/>
      <c r="R86" s="57"/>
      <c r="S86" s="57"/>
      <c r="T86" s="45"/>
      <c r="U86" s="74"/>
      <c r="V86" s="45"/>
      <c r="W86" s="56"/>
      <c r="X86" s="57"/>
      <c r="Y86" s="57"/>
      <c r="Z86" s="57"/>
      <c r="AA86" s="57"/>
      <c r="AB86" s="57"/>
      <c r="AC86" s="57"/>
      <c r="AD86" s="45"/>
      <c r="AE86" s="65"/>
      <c r="AF86" s="56"/>
      <c r="AG86" s="57"/>
      <c r="AH86" s="57"/>
      <c r="AI86" s="57"/>
      <c r="AJ86" s="57"/>
      <c r="AK86" s="57"/>
      <c r="AL86" s="57"/>
      <c r="AM86" s="45"/>
      <c r="AN86" s="74"/>
      <c r="AO86" s="45"/>
      <c r="AP86" s="56"/>
      <c r="AQ86" s="57"/>
      <c r="AR86" s="57"/>
      <c r="AS86" s="57"/>
      <c r="AT86" s="57"/>
      <c r="AU86" s="57"/>
      <c r="AV86" s="57"/>
      <c r="AW86" s="45"/>
    </row>
    <row r="87" spans="1:49">
      <c r="A87" s="12" t="str">
        <f>Roster!A87</f>
        <v/>
      </c>
      <c r="B87" s="28">
        <f>Roster!C87</f>
        <v>0</v>
      </c>
      <c r="C87" s="55"/>
      <c r="D87" s="56"/>
      <c r="E87" s="57"/>
      <c r="F87" s="57"/>
      <c r="G87" s="57"/>
      <c r="H87" s="57"/>
      <c r="I87" s="57"/>
      <c r="J87" s="57"/>
      <c r="K87" s="45"/>
      <c r="L87" s="58"/>
      <c r="M87" s="56"/>
      <c r="N87" s="57"/>
      <c r="O87" s="57"/>
      <c r="P87" s="57"/>
      <c r="Q87" s="57"/>
      <c r="R87" s="57"/>
      <c r="S87" s="57"/>
      <c r="T87" s="45"/>
      <c r="U87" s="74"/>
      <c r="V87" s="45"/>
      <c r="W87" s="56"/>
      <c r="X87" s="57"/>
      <c r="Y87" s="57"/>
      <c r="Z87" s="57"/>
      <c r="AA87" s="57"/>
      <c r="AB87" s="57"/>
      <c r="AC87" s="57"/>
      <c r="AD87" s="45"/>
      <c r="AE87" s="65"/>
      <c r="AF87" s="56"/>
      <c r="AG87" s="57"/>
      <c r="AH87" s="57"/>
      <c r="AI87" s="57"/>
      <c r="AJ87" s="57"/>
      <c r="AK87" s="57"/>
      <c r="AL87" s="57"/>
      <c r="AM87" s="45"/>
      <c r="AN87" s="74"/>
      <c r="AO87" s="45"/>
      <c r="AP87" s="56"/>
      <c r="AQ87" s="57"/>
      <c r="AR87" s="57"/>
      <c r="AS87" s="57"/>
      <c r="AT87" s="57"/>
      <c r="AU87" s="57"/>
      <c r="AV87" s="57"/>
      <c r="AW87" s="45"/>
    </row>
    <row r="88" spans="1:49">
      <c r="A88" s="12" t="str">
        <f>Roster!A88</f>
        <v/>
      </c>
      <c r="B88" s="28">
        <f>Roster!C88</f>
        <v>0</v>
      </c>
      <c r="C88" s="55"/>
      <c r="D88" s="56"/>
      <c r="E88" s="57"/>
      <c r="F88" s="57"/>
      <c r="G88" s="57"/>
      <c r="H88" s="57"/>
      <c r="I88" s="57"/>
      <c r="J88" s="57"/>
      <c r="K88" s="45"/>
      <c r="L88" s="58"/>
      <c r="M88" s="56"/>
      <c r="N88" s="57"/>
      <c r="O88" s="57"/>
      <c r="P88" s="57"/>
      <c r="Q88" s="57"/>
      <c r="R88" s="57"/>
      <c r="S88" s="57"/>
      <c r="T88" s="45"/>
      <c r="U88" s="74"/>
      <c r="V88" s="45"/>
      <c r="W88" s="56"/>
      <c r="X88" s="57"/>
      <c r="Y88" s="57"/>
      <c r="Z88" s="57"/>
      <c r="AA88" s="57"/>
      <c r="AB88" s="57"/>
      <c r="AC88" s="57"/>
      <c r="AD88" s="45"/>
      <c r="AE88" s="65"/>
      <c r="AF88" s="56"/>
      <c r="AG88" s="57"/>
      <c r="AH88" s="57"/>
      <c r="AI88" s="57"/>
      <c r="AJ88" s="57"/>
      <c r="AK88" s="57"/>
      <c r="AL88" s="57"/>
      <c r="AM88" s="45"/>
      <c r="AN88" s="74"/>
      <c r="AO88" s="45"/>
      <c r="AP88" s="56"/>
      <c r="AQ88" s="57"/>
      <c r="AR88" s="57"/>
      <c r="AS88" s="57"/>
      <c r="AT88" s="57"/>
      <c r="AU88" s="57"/>
      <c r="AV88" s="57"/>
      <c r="AW88" s="45"/>
    </row>
    <row r="89" spans="1:49">
      <c r="A89" s="12" t="str">
        <f>Roster!A89</f>
        <v/>
      </c>
      <c r="B89" s="28">
        <f>Roster!C89</f>
        <v>0</v>
      </c>
      <c r="C89" s="55"/>
      <c r="D89" s="56"/>
      <c r="E89" s="57"/>
      <c r="F89" s="57"/>
      <c r="G89" s="57"/>
      <c r="H89" s="57"/>
      <c r="I89" s="57"/>
      <c r="J89" s="57"/>
      <c r="K89" s="45"/>
      <c r="L89" s="58"/>
      <c r="M89" s="56"/>
      <c r="N89" s="57"/>
      <c r="O89" s="57"/>
      <c r="P89" s="57"/>
      <c r="Q89" s="57"/>
      <c r="R89" s="57"/>
      <c r="S89" s="57"/>
      <c r="T89" s="45"/>
      <c r="U89" s="74"/>
      <c r="V89" s="45"/>
      <c r="W89" s="56"/>
      <c r="X89" s="57"/>
      <c r="Y89" s="57"/>
      <c r="Z89" s="57"/>
      <c r="AA89" s="57"/>
      <c r="AB89" s="57"/>
      <c r="AC89" s="57"/>
      <c r="AD89" s="45"/>
      <c r="AE89" s="65"/>
      <c r="AF89" s="56"/>
      <c r="AG89" s="57"/>
      <c r="AH89" s="57"/>
      <c r="AI89" s="57"/>
      <c r="AJ89" s="57"/>
      <c r="AK89" s="57"/>
      <c r="AL89" s="57"/>
      <c r="AM89" s="45"/>
      <c r="AN89" s="74"/>
      <c r="AO89" s="45"/>
      <c r="AP89" s="56"/>
      <c r="AQ89" s="57"/>
      <c r="AR89" s="57"/>
      <c r="AS89" s="57"/>
      <c r="AT89" s="57"/>
      <c r="AU89" s="57"/>
      <c r="AV89" s="57"/>
      <c r="AW89" s="45"/>
    </row>
    <row r="90" spans="1:49">
      <c r="A90" s="12" t="str">
        <f>Roster!A90</f>
        <v/>
      </c>
      <c r="B90" s="28">
        <f>Roster!C90</f>
        <v>0</v>
      </c>
      <c r="C90" s="55"/>
      <c r="D90" s="56"/>
      <c r="E90" s="57"/>
      <c r="F90" s="57"/>
      <c r="G90" s="57"/>
      <c r="H90" s="57"/>
      <c r="I90" s="57"/>
      <c r="J90" s="57"/>
      <c r="K90" s="45"/>
      <c r="L90" s="58"/>
      <c r="M90" s="56"/>
      <c r="N90" s="57"/>
      <c r="O90" s="57"/>
      <c r="P90" s="57"/>
      <c r="Q90" s="57"/>
      <c r="R90" s="57"/>
      <c r="S90" s="57"/>
      <c r="T90" s="45"/>
      <c r="U90" s="74"/>
      <c r="V90" s="45"/>
      <c r="W90" s="56"/>
      <c r="X90" s="57"/>
      <c r="Y90" s="57"/>
      <c r="Z90" s="57"/>
      <c r="AA90" s="57"/>
      <c r="AB90" s="57"/>
      <c r="AC90" s="57"/>
      <c r="AD90" s="45"/>
      <c r="AE90" s="65"/>
      <c r="AF90" s="56"/>
      <c r="AG90" s="57"/>
      <c r="AH90" s="57"/>
      <c r="AI90" s="57"/>
      <c r="AJ90" s="57"/>
      <c r="AK90" s="57"/>
      <c r="AL90" s="57"/>
      <c r="AM90" s="45"/>
      <c r="AN90" s="74"/>
      <c r="AO90" s="45"/>
      <c r="AP90" s="56"/>
      <c r="AQ90" s="57"/>
      <c r="AR90" s="57"/>
      <c r="AS90" s="57"/>
      <c r="AT90" s="57"/>
      <c r="AU90" s="57"/>
      <c r="AV90" s="57"/>
      <c r="AW90" s="45"/>
    </row>
    <row r="91" spans="1:49">
      <c r="A91" s="12" t="str">
        <f>Roster!A91</f>
        <v/>
      </c>
      <c r="B91" s="28">
        <f>Roster!C91</f>
        <v>0</v>
      </c>
      <c r="C91" s="55"/>
      <c r="D91" s="56"/>
      <c r="E91" s="57"/>
      <c r="F91" s="57"/>
      <c r="G91" s="57"/>
      <c r="H91" s="57"/>
      <c r="I91" s="57"/>
      <c r="J91" s="57"/>
      <c r="K91" s="45"/>
      <c r="L91" s="58"/>
      <c r="M91" s="56"/>
      <c r="N91" s="57"/>
      <c r="O91" s="57"/>
      <c r="P91" s="57"/>
      <c r="Q91" s="57"/>
      <c r="R91" s="57"/>
      <c r="S91" s="57"/>
      <c r="T91" s="45"/>
      <c r="U91" s="74"/>
      <c r="V91" s="45"/>
      <c r="W91" s="56"/>
      <c r="X91" s="57"/>
      <c r="Y91" s="57"/>
      <c r="Z91" s="57"/>
      <c r="AA91" s="57"/>
      <c r="AB91" s="57"/>
      <c r="AC91" s="57"/>
      <c r="AD91" s="45"/>
      <c r="AE91" s="65"/>
      <c r="AF91" s="56"/>
      <c r="AG91" s="57"/>
      <c r="AH91" s="57"/>
      <c r="AI91" s="57"/>
      <c r="AJ91" s="57"/>
      <c r="AK91" s="57"/>
      <c r="AL91" s="57"/>
      <c r="AM91" s="45"/>
      <c r="AN91" s="74"/>
      <c r="AO91" s="45"/>
      <c r="AP91" s="56"/>
      <c r="AQ91" s="57"/>
      <c r="AR91" s="57"/>
      <c r="AS91" s="57"/>
      <c r="AT91" s="57"/>
      <c r="AU91" s="57"/>
      <c r="AV91" s="57"/>
      <c r="AW91" s="45"/>
    </row>
    <row r="92" spans="1:49">
      <c r="A92" s="12" t="str">
        <f>Roster!A92</f>
        <v/>
      </c>
      <c r="B92" s="28">
        <f>Roster!C92</f>
        <v>0</v>
      </c>
      <c r="C92" s="55"/>
      <c r="D92" s="56"/>
      <c r="E92" s="57"/>
      <c r="F92" s="57"/>
      <c r="G92" s="57"/>
      <c r="H92" s="57"/>
      <c r="I92" s="57"/>
      <c r="J92" s="57"/>
      <c r="K92" s="45"/>
      <c r="L92" s="58"/>
      <c r="M92" s="56"/>
      <c r="N92" s="57"/>
      <c r="O92" s="57"/>
      <c r="P92" s="57"/>
      <c r="Q92" s="57"/>
      <c r="R92" s="57"/>
      <c r="S92" s="57"/>
      <c r="T92" s="45"/>
      <c r="U92" s="74"/>
      <c r="V92" s="45"/>
      <c r="W92" s="56"/>
      <c r="X92" s="57"/>
      <c r="Y92" s="57"/>
      <c r="Z92" s="57"/>
      <c r="AA92" s="57"/>
      <c r="AB92" s="57"/>
      <c r="AC92" s="57"/>
      <c r="AD92" s="45"/>
      <c r="AE92" s="65"/>
      <c r="AF92" s="56"/>
      <c r="AG92" s="57"/>
      <c r="AH92" s="57"/>
      <c r="AI92" s="57"/>
      <c r="AJ92" s="57"/>
      <c r="AK92" s="57"/>
      <c r="AL92" s="57"/>
      <c r="AM92" s="45"/>
      <c r="AN92" s="74"/>
      <c r="AO92" s="45"/>
      <c r="AP92" s="56"/>
      <c r="AQ92" s="57"/>
      <c r="AR92" s="57"/>
      <c r="AS92" s="57"/>
      <c r="AT92" s="57"/>
      <c r="AU92" s="57"/>
      <c r="AV92" s="57"/>
      <c r="AW92" s="45"/>
    </row>
    <row r="93" spans="1:49">
      <c r="A93" s="12" t="str">
        <f>Roster!A93</f>
        <v/>
      </c>
      <c r="B93" s="28">
        <f>Roster!C93</f>
        <v>0</v>
      </c>
      <c r="C93" s="55"/>
      <c r="D93" s="56"/>
      <c r="E93" s="57"/>
      <c r="F93" s="57"/>
      <c r="G93" s="57"/>
      <c r="H93" s="57"/>
      <c r="I93" s="57"/>
      <c r="J93" s="57"/>
      <c r="K93" s="45"/>
      <c r="L93" s="58"/>
      <c r="M93" s="56"/>
      <c r="N93" s="57"/>
      <c r="O93" s="57"/>
      <c r="P93" s="57"/>
      <c r="Q93" s="57"/>
      <c r="R93" s="57"/>
      <c r="S93" s="57"/>
      <c r="T93" s="45"/>
      <c r="U93" s="74"/>
      <c r="V93" s="45"/>
      <c r="W93" s="56"/>
      <c r="X93" s="57"/>
      <c r="Y93" s="57"/>
      <c r="Z93" s="57"/>
      <c r="AA93" s="57"/>
      <c r="AB93" s="57"/>
      <c r="AC93" s="57"/>
      <c r="AD93" s="45"/>
      <c r="AE93" s="65"/>
      <c r="AF93" s="56"/>
      <c r="AG93" s="57"/>
      <c r="AH93" s="57"/>
      <c r="AI93" s="57"/>
      <c r="AJ93" s="57"/>
      <c r="AK93" s="57"/>
      <c r="AL93" s="57"/>
      <c r="AM93" s="45"/>
      <c r="AN93" s="74"/>
      <c r="AO93" s="45"/>
      <c r="AP93" s="56"/>
      <c r="AQ93" s="57"/>
      <c r="AR93" s="57"/>
      <c r="AS93" s="57"/>
      <c r="AT93" s="57"/>
      <c r="AU93" s="57"/>
      <c r="AV93" s="57"/>
      <c r="AW93" s="45"/>
    </row>
    <row r="94" spans="1:49">
      <c r="A94" s="12" t="str">
        <f>Roster!A94</f>
        <v/>
      </c>
      <c r="B94" s="28">
        <f>Roster!C94</f>
        <v>0</v>
      </c>
      <c r="C94" s="55"/>
      <c r="D94" s="56"/>
      <c r="E94" s="57"/>
      <c r="F94" s="57"/>
      <c r="G94" s="57"/>
      <c r="H94" s="57"/>
      <c r="I94" s="57"/>
      <c r="J94" s="57"/>
      <c r="K94" s="45"/>
      <c r="L94" s="58"/>
      <c r="M94" s="56"/>
      <c r="N94" s="57"/>
      <c r="O94" s="57"/>
      <c r="P94" s="57"/>
      <c r="Q94" s="57"/>
      <c r="R94" s="57"/>
      <c r="S94" s="57"/>
      <c r="T94" s="45"/>
      <c r="U94" s="74"/>
      <c r="V94" s="45"/>
      <c r="W94" s="56"/>
      <c r="X94" s="57"/>
      <c r="Y94" s="57"/>
      <c r="Z94" s="57"/>
      <c r="AA94" s="57"/>
      <c r="AB94" s="57"/>
      <c r="AC94" s="57"/>
      <c r="AD94" s="45"/>
      <c r="AE94" s="65"/>
      <c r="AF94" s="56"/>
      <c r="AG94" s="57"/>
      <c r="AH94" s="57"/>
      <c r="AI94" s="57"/>
      <c r="AJ94" s="57"/>
      <c r="AK94" s="57"/>
      <c r="AL94" s="57"/>
      <c r="AM94" s="45"/>
      <c r="AN94" s="74"/>
      <c r="AO94" s="45"/>
      <c r="AP94" s="56"/>
      <c r="AQ94" s="57"/>
      <c r="AR94" s="57"/>
      <c r="AS94" s="57"/>
      <c r="AT94" s="57"/>
      <c r="AU94" s="57"/>
      <c r="AV94" s="57"/>
      <c r="AW94" s="45"/>
    </row>
    <row r="95" spans="1:49">
      <c r="A95" s="12" t="str">
        <f>Roster!A95</f>
        <v/>
      </c>
      <c r="B95" s="28">
        <f>Roster!C95</f>
        <v>0</v>
      </c>
      <c r="C95" s="55"/>
      <c r="D95" s="56"/>
      <c r="E95" s="57"/>
      <c r="F95" s="57"/>
      <c r="G95" s="57"/>
      <c r="H95" s="57"/>
      <c r="I95" s="57"/>
      <c r="J95" s="57"/>
      <c r="K95" s="45"/>
      <c r="L95" s="58"/>
      <c r="M95" s="56"/>
      <c r="N95" s="57"/>
      <c r="O95" s="57"/>
      <c r="P95" s="57"/>
      <c r="Q95" s="57"/>
      <c r="R95" s="57"/>
      <c r="S95" s="57"/>
      <c r="T95" s="45"/>
      <c r="U95" s="74"/>
      <c r="V95" s="45"/>
      <c r="W95" s="56"/>
      <c r="X95" s="57"/>
      <c r="Y95" s="57"/>
      <c r="Z95" s="57"/>
      <c r="AA95" s="57"/>
      <c r="AB95" s="57"/>
      <c r="AC95" s="57"/>
      <c r="AD95" s="45"/>
      <c r="AE95" s="65"/>
      <c r="AF95" s="56"/>
      <c r="AG95" s="57"/>
      <c r="AH95" s="57"/>
      <c r="AI95" s="57"/>
      <c r="AJ95" s="57"/>
      <c r="AK95" s="57"/>
      <c r="AL95" s="57"/>
      <c r="AM95" s="45"/>
      <c r="AN95" s="74"/>
      <c r="AO95" s="45"/>
      <c r="AP95" s="56"/>
      <c r="AQ95" s="57"/>
      <c r="AR95" s="57"/>
      <c r="AS95" s="57"/>
      <c r="AT95" s="57"/>
      <c r="AU95" s="57"/>
      <c r="AV95" s="57"/>
      <c r="AW95" s="45"/>
    </row>
    <row r="96" spans="1:49">
      <c r="A96" s="12" t="str">
        <f>Roster!A96</f>
        <v/>
      </c>
      <c r="B96" s="28">
        <f>Roster!C96</f>
        <v>0</v>
      </c>
      <c r="C96" s="55"/>
      <c r="D96" s="56"/>
      <c r="E96" s="57"/>
      <c r="F96" s="57"/>
      <c r="G96" s="57"/>
      <c r="H96" s="57"/>
      <c r="I96" s="57"/>
      <c r="J96" s="57"/>
      <c r="K96" s="45"/>
      <c r="L96" s="58"/>
      <c r="M96" s="56"/>
      <c r="N96" s="57"/>
      <c r="O96" s="57"/>
      <c r="P96" s="57"/>
      <c r="Q96" s="57"/>
      <c r="R96" s="57"/>
      <c r="S96" s="57"/>
      <c r="T96" s="45"/>
      <c r="U96" s="74"/>
      <c r="V96" s="45"/>
      <c r="W96" s="56"/>
      <c r="X96" s="57"/>
      <c r="Y96" s="57"/>
      <c r="Z96" s="57"/>
      <c r="AA96" s="57"/>
      <c r="AB96" s="57"/>
      <c r="AC96" s="57"/>
      <c r="AD96" s="45"/>
      <c r="AE96" s="65"/>
      <c r="AF96" s="56"/>
      <c r="AG96" s="57"/>
      <c r="AH96" s="57"/>
      <c r="AI96" s="57"/>
      <c r="AJ96" s="57"/>
      <c r="AK96" s="57"/>
      <c r="AL96" s="57"/>
      <c r="AM96" s="45"/>
      <c r="AN96" s="74"/>
      <c r="AO96" s="45"/>
      <c r="AP96" s="56"/>
      <c r="AQ96" s="57"/>
      <c r="AR96" s="57"/>
      <c r="AS96" s="57"/>
      <c r="AT96" s="57"/>
      <c r="AU96" s="57"/>
      <c r="AV96" s="57"/>
      <c r="AW96" s="45"/>
    </row>
    <row r="97" spans="1:49">
      <c r="A97" s="12" t="str">
        <f>Roster!A97</f>
        <v/>
      </c>
      <c r="B97" s="28">
        <f>Roster!C97</f>
        <v>0</v>
      </c>
      <c r="C97" s="55"/>
      <c r="D97" s="56"/>
      <c r="E97" s="57"/>
      <c r="F97" s="57"/>
      <c r="G97" s="57"/>
      <c r="H97" s="57"/>
      <c r="I97" s="57"/>
      <c r="J97" s="57"/>
      <c r="K97" s="45"/>
      <c r="L97" s="58"/>
      <c r="M97" s="56"/>
      <c r="N97" s="57"/>
      <c r="O97" s="57"/>
      <c r="P97" s="57"/>
      <c r="Q97" s="57"/>
      <c r="R97" s="57"/>
      <c r="S97" s="57"/>
      <c r="T97" s="45"/>
      <c r="U97" s="74"/>
      <c r="V97" s="45"/>
      <c r="W97" s="56"/>
      <c r="X97" s="57"/>
      <c r="Y97" s="57"/>
      <c r="Z97" s="57"/>
      <c r="AA97" s="57"/>
      <c r="AB97" s="57"/>
      <c r="AC97" s="57"/>
      <c r="AD97" s="45"/>
      <c r="AE97" s="65"/>
      <c r="AF97" s="56"/>
      <c r="AG97" s="57"/>
      <c r="AH97" s="57"/>
      <c r="AI97" s="57"/>
      <c r="AJ97" s="57"/>
      <c r="AK97" s="57"/>
      <c r="AL97" s="57"/>
      <c r="AM97" s="45"/>
      <c r="AN97" s="74"/>
      <c r="AO97" s="45"/>
      <c r="AP97" s="56"/>
      <c r="AQ97" s="57"/>
      <c r="AR97" s="57"/>
      <c r="AS97" s="57"/>
      <c r="AT97" s="57"/>
      <c r="AU97" s="57"/>
      <c r="AV97" s="57"/>
      <c r="AW97" s="45"/>
    </row>
    <row r="98" spans="1:49">
      <c r="A98" s="12" t="str">
        <f>Roster!A98</f>
        <v/>
      </c>
      <c r="B98" s="28">
        <f>Roster!C98</f>
        <v>0</v>
      </c>
      <c r="C98" s="55"/>
      <c r="D98" s="56"/>
      <c r="E98" s="57"/>
      <c r="F98" s="57"/>
      <c r="G98" s="57"/>
      <c r="H98" s="57"/>
      <c r="I98" s="57"/>
      <c r="J98" s="57"/>
      <c r="K98" s="45"/>
      <c r="L98" s="58"/>
      <c r="M98" s="56"/>
      <c r="N98" s="57"/>
      <c r="O98" s="57"/>
      <c r="P98" s="57"/>
      <c r="Q98" s="57"/>
      <c r="R98" s="57"/>
      <c r="S98" s="57"/>
      <c r="T98" s="45"/>
      <c r="U98" s="74"/>
      <c r="V98" s="45"/>
      <c r="W98" s="56"/>
      <c r="X98" s="57"/>
      <c r="Y98" s="57"/>
      <c r="Z98" s="57"/>
      <c r="AA98" s="57"/>
      <c r="AB98" s="57"/>
      <c r="AC98" s="57"/>
      <c r="AD98" s="45"/>
      <c r="AE98" s="65"/>
      <c r="AF98" s="56"/>
      <c r="AG98" s="57"/>
      <c r="AH98" s="57"/>
      <c r="AI98" s="57"/>
      <c r="AJ98" s="57"/>
      <c r="AK98" s="57"/>
      <c r="AL98" s="57"/>
      <c r="AM98" s="45"/>
      <c r="AN98" s="74"/>
      <c r="AO98" s="45"/>
      <c r="AP98" s="56"/>
      <c r="AQ98" s="57"/>
      <c r="AR98" s="57"/>
      <c r="AS98" s="57"/>
      <c r="AT98" s="57"/>
      <c r="AU98" s="57"/>
      <c r="AV98" s="57"/>
      <c r="AW98" s="45"/>
    </row>
    <row r="99" spans="1:49">
      <c r="A99" s="12" t="str">
        <f>Roster!A99</f>
        <v/>
      </c>
      <c r="B99" s="28">
        <f>Roster!C99</f>
        <v>0</v>
      </c>
      <c r="C99" s="55"/>
      <c r="D99" s="56"/>
      <c r="E99" s="57"/>
      <c r="F99" s="57"/>
      <c r="G99" s="57"/>
      <c r="H99" s="57"/>
      <c r="I99" s="57"/>
      <c r="J99" s="57"/>
      <c r="K99" s="45"/>
      <c r="L99" s="58"/>
      <c r="M99" s="56"/>
      <c r="N99" s="57"/>
      <c r="O99" s="57"/>
      <c r="P99" s="57"/>
      <c r="Q99" s="57"/>
      <c r="R99" s="57"/>
      <c r="S99" s="57"/>
      <c r="T99" s="45"/>
      <c r="U99" s="74"/>
      <c r="V99" s="45"/>
      <c r="W99" s="56"/>
      <c r="X99" s="57"/>
      <c r="Y99" s="57"/>
      <c r="Z99" s="57"/>
      <c r="AA99" s="57"/>
      <c r="AB99" s="57"/>
      <c r="AC99" s="57"/>
      <c r="AD99" s="45"/>
      <c r="AE99" s="65"/>
      <c r="AF99" s="56"/>
      <c r="AG99" s="57"/>
      <c r="AH99" s="57"/>
      <c r="AI99" s="57"/>
      <c r="AJ99" s="57"/>
      <c r="AK99" s="57"/>
      <c r="AL99" s="57"/>
      <c r="AM99" s="45"/>
      <c r="AN99" s="74"/>
      <c r="AO99" s="45"/>
      <c r="AP99" s="56"/>
      <c r="AQ99" s="57"/>
      <c r="AR99" s="57"/>
      <c r="AS99" s="57"/>
      <c r="AT99" s="57"/>
      <c r="AU99" s="57"/>
      <c r="AV99" s="57"/>
      <c r="AW99" s="45"/>
    </row>
    <row r="100" spans="1:49">
      <c r="A100" s="12" t="str">
        <f>Roster!A100</f>
        <v/>
      </c>
      <c r="B100" s="28">
        <f>Roster!C100</f>
        <v>0</v>
      </c>
      <c r="C100" s="55"/>
      <c r="D100" s="56"/>
      <c r="E100" s="57"/>
      <c r="F100" s="57"/>
      <c r="G100" s="57"/>
      <c r="H100" s="57"/>
      <c r="I100" s="57"/>
      <c r="J100" s="57"/>
      <c r="K100" s="45"/>
      <c r="L100" s="58"/>
      <c r="M100" s="56"/>
      <c r="N100" s="57"/>
      <c r="O100" s="57"/>
      <c r="P100" s="57"/>
      <c r="Q100" s="57"/>
      <c r="R100" s="57"/>
      <c r="S100" s="57"/>
      <c r="T100" s="45"/>
      <c r="U100" s="74"/>
      <c r="V100" s="45"/>
      <c r="W100" s="56"/>
      <c r="X100" s="57"/>
      <c r="Y100" s="57"/>
      <c r="Z100" s="57"/>
      <c r="AA100" s="57"/>
      <c r="AB100" s="57"/>
      <c r="AC100" s="57"/>
      <c r="AD100" s="45"/>
      <c r="AE100" s="65"/>
      <c r="AF100" s="56"/>
      <c r="AG100" s="57"/>
      <c r="AH100" s="57"/>
      <c r="AI100" s="57"/>
      <c r="AJ100" s="57"/>
      <c r="AK100" s="57"/>
      <c r="AL100" s="57"/>
      <c r="AM100" s="45"/>
      <c r="AN100" s="74"/>
      <c r="AO100" s="45"/>
      <c r="AP100" s="56"/>
      <c r="AQ100" s="57"/>
      <c r="AR100" s="57"/>
      <c r="AS100" s="57"/>
      <c r="AT100" s="57"/>
      <c r="AU100" s="57"/>
      <c r="AV100" s="57"/>
      <c r="AW100" s="45"/>
    </row>
    <row r="101" spans="1:49">
      <c r="A101" s="12" t="str">
        <f>Roster!A101</f>
        <v/>
      </c>
      <c r="B101" s="28">
        <f>Roster!C101</f>
        <v>0</v>
      </c>
      <c r="C101" s="55"/>
      <c r="D101" s="56"/>
      <c r="E101" s="57"/>
      <c r="F101" s="57"/>
      <c r="G101" s="57"/>
      <c r="H101" s="57"/>
      <c r="I101" s="57"/>
      <c r="J101" s="57"/>
      <c r="K101" s="45"/>
      <c r="L101" s="58"/>
      <c r="M101" s="56"/>
      <c r="N101" s="57"/>
      <c r="O101" s="57"/>
      <c r="P101" s="57"/>
      <c r="Q101" s="57"/>
      <c r="R101" s="57"/>
      <c r="S101" s="57"/>
      <c r="T101" s="45"/>
      <c r="U101" s="74"/>
      <c r="V101" s="45"/>
      <c r="W101" s="56"/>
      <c r="X101" s="57"/>
      <c r="Y101" s="57"/>
      <c r="Z101" s="57"/>
      <c r="AA101" s="57"/>
      <c r="AB101" s="57"/>
      <c r="AC101" s="57"/>
      <c r="AD101" s="45"/>
      <c r="AE101" s="65"/>
      <c r="AF101" s="56"/>
      <c r="AG101" s="57"/>
      <c r="AH101" s="57"/>
      <c r="AI101" s="57"/>
      <c r="AJ101" s="57"/>
      <c r="AK101" s="57"/>
      <c r="AL101" s="57"/>
      <c r="AM101" s="45"/>
      <c r="AN101" s="74"/>
      <c r="AO101" s="45"/>
      <c r="AP101" s="56"/>
      <c r="AQ101" s="57"/>
      <c r="AR101" s="57"/>
      <c r="AS101" s="57"/>
      <c r="AT101" s="57"/>
      <c r="AU101" s="57"/>
      <c r="AV101" s="57"/>
      <c r="AW101" s="45"/>
    </row>
    <row r="102" spans="1:49">
      <c r="A102" s="11" t="str">
        <f>Roster!A102</f>
        <v/>
      </c>
      <c r="B102" s="38">
        <f>Roster!C102</f>
        <v>0</v>
      </c>
      <c r="C102" s="67"/>
      <c r="D102" s="68"/>
      <c r="E102" s="40"/>
      <c r="F102" s="40"/>
      <c r="G102" s="40"/>
      <c r="H102" s="40"/>
      <c r="I102" s="40"/>
      <c r="J102" s="40"/>
      <c r="K102" s="47"/>
      <c r="L102" s="69"/>
      <c r="M102" s="68"/>
      <c r="N102" s="40"/>
      <c r="O102" s="40"/>
      <c r="P102" s="40"/>
      <c r="Q102" s="40"/>
      <c r="R102" s="40"/>
      <c r="S102" s="40"/>
      <c r="T102" s="47"/>
      <c r="U102" s="75"/>
      <c r="V102" s="47"/>
      <c r="W102" s="68"/>
      <c r="X102" s="40"/>
      <c r="Y102" s="40"/>
      <c r="Z102" s="40"/>
      <c r="AA102" s="40"/>
      <c r="AB102" s="40"/>
      <c r="AC102" s="40"/>
      <c r="AD102" s="47"/>
      <c r="AE102" s="70"/>
      <c r="AF102" s="68"/>
      <c r="AG102" s="40"/>
      <c r="AH102" s="40"/>
      <c r="AI102" s="40"/>
      <c r="AJ102" s="40"/>
      <c r="AK102" s="40"/>
      <c r="AL102" s="40"/>
      <c r="AM102" s="47"/>
      <c r="AN102" s="75"/>
      <c r="AO102" s="47"/>
      <c r="AP102" s="68"/>
      <c r="AQ102" s="40"/>
      <c r="AR102" s="40"/>
      <c r="AS102" s="40"/>
      <c r="AT102" s="40"/>
      <c r="AU102" s="40"/>
      <c r="AV102" s="40"/>
      <c r="AW102" s="47"/>
    </row>
    <row r="103" spans="1:49">
      <c r="A103" s="12" t="str">
        <f>Roster!A103</f>
        <v/>
      </c>
      <c r="B103" s="28">
        <f>Roster!C103</f>
        <v>0</v>
      </c>
      <c r="C103" s="55"/>
      <c r="D103" s="56"/>
      <c r="E103" s="57"/>
      <c r="F103" s="57"/>
      <c r="G103" s="57"/>
      <c r="H103" s="57"/>
      <c r="I103" s="57"/>
      <c r="J103" s="57"/>
      <c r="K103" s="45"/>
      <c r="L103" s="58"/>
      <c r="M103" s="56"/>
      <c r="N103" s="57"/>
      <c r="O103" s="57"/>
      <c r="P103" s="57"/>
      <c r="Q103" s="57"/>
      <c r="R103" s="57"/>
      <c r="S103" s="57"/>
      <c r="T103" s="45"/>
      <c r="U103" s="74"/>
      <c r="V103" s="45"/>
      <c r="W103" s="56"/>
      <c r="X103" s="57"/>
      <c r="Y103" s="57"/>
      <c r="Z103" s="57"/>
      <c r="AA103" s="57"/>
      <c r="AB103" s="57"/>
      <c r="AC103" s="57"/>
      <c r="AD103" s="45"/>
      <c r="AE103" s="65"/>
      <c r="AF103" s="56"/>
      <c r="AG103" s="57"/>
      <c r="AH103" s="57"/>
      <c r="AI103" s="57"/>
      <c r="AJ103" s="57"/>
      <c r="AK103" s="57"/>
      <c r="AL103" s="57"/>
      <c r="AM103" s="45"/>
      <c r="AN103" s="74"/>
      <c r="AO103" s="45"/>
      <c r="AP103" s="56"/>
      <c r="AQ103" s="57"/>
      <c r="AR103" s="57"/>
      <c r="AS103" s="57"/>
      <c r="AT103" s="57"/>
      <c r="AU103" s="57"/>
      <c r="AV103" s="57"/>
      <c r="AW103" s="45"/>
    </row>
    <row r="104" spans="1:49">
      <c r="A104" s="12" t="str">
        <f>Roster!A104</f>
        <v/>
      </c>
      <c r="B104" s="28">
        <f>Roster!C104</f>
        <v>0</v>
      </c>
      <c r="C104" s="55"/>
      <c r="D104" s="56"/>
      <c r="E104" s="57"/>
      <c r="F104" s="57"/>
      <c r="G104" s="57"/>
      <c r="H104" s="57"/>
      <c r="I104" s="57"/>
      <c r="J104" s="57"/>
      <c r="K104" s="45"/>
      <c r="L104" s="58"/>
      <c r="M104" s="56"/>
      <c r="N104" s="57"/>
      <c r="O104" s="57"/>
      <c r="P104" s="57"/>
      <c r="Q104" s="57"/>
      <c r="R104" s="57"/>
      <c r="S104" s="57"/>
      <c r="T104" s="45"/>
      <c r="U104" s="74"/>
      <c r="V104" s="45"/>
      <c r="W104" s="56"/>
      <c r="X104" s="57"/>
      <c r="Y104" s="57"/>
      <c r="Z104" s="57"/>
      <c r="AA104" s="57"/>
      <c r="AB104" s="57"/>
      <c r="AC104" s="57"/>
      <c r="AD104" s="45"/>
      <c r="AE104" s="65"/>
      <c r="AF104" s="56"/>
      <c r="AG104" s="57"/>
      <c r="AH104" s="57"/>
      <c r="AI104" s="57"/>
      <c r="AJ104" s="57"/>
      <c r="AK104" s="57"/>
      <c r="AL104" s="57"/>
      <c r="AM104" s="45"/>
      <c r="AN104" s="74"/>
      <c r="AO104" s="45"/>
      <c r="AP104" s="56"/>
      <c r="AQ104" s="57"/>
      <c r="AR104" s="57"/>
      <c r="AS104" s="57"/>
      <c r="AT104" s="57"/>
      <c r="AU104" s="57"/>
      <c r="AV104" s="57"/>
      <c r="AW104" s="45"/>
    </row>
    <row r="105" spans="1:49">
      <c r="A105" s="12" t="str">
        <f>Roster!A105</f>
        <v/>
      </c>
      <c r="B105" s="28">
        <f>Roster!C105</f>
        <v>0</v>
      </c>
      <c r="C105" s="55"/>
      <c r="D105" s="56"/>
      <c r="E105" s="57"/>
      <c r="F105" s="57"/>
      <c r="G105" s="57"/>
      <c r="H105" s="57"/>
      <c r="I105" s="57"/>
      <c r="J105" s="57"/>
      <c r="K105" s="45"/>
      <c r="L105" s="58"/>
      <c r="M105" s="56"/>
      <c r="N105" s="57"/>
      <c r="O105" s="57"/>
      <c r="P105" s="57"/>
      <c r="Q105" s="57"/>
      <c r="R105" s="57"/>
      <c r="S105" s="57"/>
      <c r="T105" s="45"/>
      <c r="U105" s="74"/>
      <c r="V105" s="45"/>
      <c r="W105" s="56"/>
      <c r="X105" s="57"/>
      <c r="Y105" s="57"/>
      <c r="Z105" s="57"/>
      <c r="AA105" s="57"/>
      <c r="AB105" s="57"/>
      <c r="AC105" s="57"/>
      <c r="AD105" s="45"/>
      <c r="AE105" s="65"/>
      <c r="AF105" s="56"/>
      <c r="AG105" s="57"/>
      <c r="AH105" s="57"/>
      <c r="AI105" s="57"/>
      <c r="AJ105" s="57"/>
      <c r="AK105" s="57"/>
      <c r="AL105" s="57"/>
      <c r="AM105" s="45"/>
      <c r="AN105" s="74"/>
      <c r="AO105" s="45"/>
      <c r="AP105" s="56"/>
      <c r="AQ105" s="57"/>
      <c r="AR105" s="57"/>
      <c r="AS105" s="57"/>
      <c r="AT105" s="57"/>
      <c r="AU105" s="57"/>
      <c r="AV105" s="57"/>
      <c r="AW105" s="45"/>
    </row>
    <row r="106" spans="1:49">
      <c r="A106" s="12" t="str">
        <f>Roster!A106</f>
        <v/>
      </c>
      <c r="B106" s="28">
        <f>Roster!C106</f>
        <v>0</v>
      </c>
      <c r="C106" s="55"/>
      <c r="D106" s="56"/>
      <c r="E106" s="57"/>
      <c r="F106" s="57"/>
      <c r="G106" s="57"/>
      <c r="H106" s="57"/>
      <c r="I106" s="57"/>
      <c r="J106" s="57"/>
      <c r="K106" s="45"/>
      <c r="L106" s="58"/>
      <c r="M106" s="56"/>
      <c r="N106" s="57"/>
      <c r="O106" s="57"/>
      <c r="P106" s="57"/>
      <c r="Q106" s="57"/>
      <c r="R106" s="57"/>
      <c r="S106" s="57"/>
      <c r="T106" s="45"/>
      <c r="U106" s="74"/>
      <c r="V106" s="45"/>
      <c r="W106" s="56"/>
      <c r="X106" s="57"/>
      <c r="Y106" s="57"/>
      <c r="Z106" s="57"/>
      <c r="AA106" s="57"/>
      <c r="AB106" s="57"/>
      <c r="AC106" s="57"/>
      <c r="AD106" s="45"/>
      <c r="AE106" s="65"/>
      <c r="AF106" s="56"/>
      <c r="AG106" s="57"/>
      <c r="AH106" s="57"/>
      <c r="AI106" s="57"/>
      <c r="AJ106" s="57"/>
      <c r="AK106" s="57"/>
      <c r="AL106" s="57"/>
      <c r="AM106" s="45"/>
      <c r="AN106" s="74"/>
      <c r="AO106" s="45"/>
      <c r="AP106" s="56"/>
      <c r="AQ106" s="57"/>
      <c r="AR106" s="57"/>
      <c r="AS106" s="57"/>
      <c r="AT106" s="57"/>
      <c r="AU106" s="57"/>
      <c r="AV106" s="57"/>
      <c r="AW106" s="45"/>
    </row>
    <row r="107" spans="1:49">
      <c r="A107" s="12" t="str">
        <f>Roster!A107</f>
        <v/>
      </c>
      <c r="B107" s="28">
        <f>Roster!C107</f>
        <v>0</v>
      </c>
      <c r="C107" s="55"/>
      <c r="D107" s="56"/>
      <c r="E107" s="57"/>
      <c r="F107" s="57"/>
      <c r="G107" s="57"/>
      <c r="H107" s="57"/>
      <c r="I107" s="57"/>
      <c r="J107" s="57"/>
      <c r="K107" s="45"/>
      <c r="L107" s="58"/>
      <c r="M107" s="56"/>
      <c r="N107" s="57"/>
      <c r="O107" s="57"/>
      <c r="P107" s="57"/>
      <c r="Q107" s="57"/>
      <c r="R107" s="57"/>
      <c r="S107" s="57"/>
      <c r="T107" s="45"/>
      <c r="U107" s="74"/>
      <c r="V107" s="45"/>
      <c r="W107" s="56"/>
      <c r="X107" s="57"/>
      <c r="Y107" s="57"/>
      <c r="Z107" s="57"/>
      <c r="AA107" s="57"/>
      <c r="AB107" s="57"/>
      <c r="AC107" s="57"/>
      <c r="AD107" s="45"/>
      <c r="AE107" s="65"/>
      <c r="AF107" s="56"/>
      <c r="AG107" s="57"/>
      <c r="AH107" s="57"/>
      <c r="AI107" s="57"/>
      <c r="AJ107" s="57"/>
      <c r="AK107" s="57"/>
      <c r="AL107" s="57"/>
      <c r="AM107" s="45"/>
      <c r="AN107" s="74"/>
      <c r="AO107" s="45"/>
      <c r="AP107" s="56"/>
      <c r="AQ107" s="57"/>
      <c r="AR107" s="57"/>
      <c r="AS107" s="57"/>
      <c r="AT107" s="57"/>
      <c r="AU107" s="57"/>
      <c r="AV107" s="57"/>
      <c r="AW107" s="45"/>
    </row>
    <row r="108" spans="1:49">
      <c r="A108" s="12" t="str">
        <f>Roster!A108</f>
        <v/>
      </c>
      <c r="B108" s="28">
        <f>Roster!C108</f>
        <v>0</v>
      </c>
      <c r="C108" s="55"/>
      <c r="D108" s="56"/>
      <c r="E108" s="57"/>
      <c r="F108" s="57"/>
      <c r="G108" s="57"/>
      <c r="H108" s="57"/>
      <c r="I108" s="57"/>
      <c r="J108" s="57"/>
      <c r="K108" s="45"/>
      <c r="L108" s="58"/>
      <c r="M108" s="56"/>
      <c r="N108" s="57"/>
      <c r="O108" s="57"/>
      <c r="P108" s="57"/>
      <c r="Q108" s="57"/>
      <c r="R108" s="57"/>
      <c r="S108" s="57"/>
      <c r="T108" s="45"/>
      <c r="U108" s="74"/>
      <c r="V108" s="45"/>
      <c r="W108" s="56"/>
      <c r="X108" s="57"/>
      <c r="Y108" s="57"/>
      <c r="Z108" s="57"/>
      <c r="AA108" s="57"/>
      <c r="AB108" s="57"/>
      <c r="AC108" s="57"/>
      <c r="AD108" s="45"/>
      <c r="AE108" s="65"/>
      <c r="AF108" s="56"/>
      <c r="AG108" s="57"/>
      <c r="AH108" s="57"/>
      <c r="AI108" s="57"/>
      <c r="AJ108" s="57"/>
      <c r="AK108" s="57"/>
      <c r="AL108" s="57"/>
      <c r="AM108" s="45"/>
      <c r="AN108" s="74"/>
      <c r="AO108" s="45"/>
      <c r="AP108" s="56"/>
      <c r="AQ108" s="57"/>
      <c r="AR108" s="57"/>
      <c r="AS108" s="57"/>
      <c r="AT108" s="57"/>
      <c r="AU108" s="57"/>
      <c r="AV108" s="57"/>
      <c r="AW108" s="45"/>
    </row>
    <row r="109" spans="1:49">
      <c r="A109" s="12" t="str">
        <f>Roster!A109</f>
        <v/>
      </c>
      <c r="B109" s="28">
        <f>Roster!C109</f>
        <v>0</v>
      </c>
      <c r="C109" s="55"/>
      <c r="D109" s="56"/>
      <c r="E109" s="57"/>
      <c r="F109" s="57"/>
      <c r="G109" s="57"/>
      <c r="H109" s="57"/>
      <c r="I109" s="57"/>
      <c r="J109" s="57"/>
      <c r="K109" s="45"/>
      <c r="L109" s="58"/>
      <c r="M109" s="56"/>
      <c r="N109" s="57"/>
      <c r="O109" s="57"/>
      <c r="P109" s="57"/>
      <c r="Q109" s="57"/>
      <c r="R109" s="57"/>
      <c r="S109" s="57"/>
      <c r="T109" s="45"/>
      <c r="U109" s="74"/>
      <c r="V109" s="45"/>
      <c r="W109" s="56"/>
      <c r="X109" s="57"/>
      <c r="Y109" s="57"/>
      <c r="Z109" s="57"/>
      <c r="AA109" s="57"/>
      <c r="AB109" s="57"/>
      <c r="AC109" s="57"/>
      <c r="AD109" s="45"/>
      <c r="AE109" s="65"/>
      <c r="AF109" s="56"/>
      <c r="AG109" s="57"/>
      <c r="AH109" s="57"/>
      <c r="AI109" s="57"/>
      <c r="AJ109" s="57"/>
      <c r="AK109" s="57"/>
      <c r="AL109" s="57"/>
      <c r="AM109" s="45"/>
      <c r="AN109" s="74"/>
      <c r="AO109" s="45"/>
      <c r="AP109" s="56"/>
      <c r="AQ109" s="57"/>
      <c r="AR109" s="57"/>
      <c r="AS109" s="57"/>
      <c r="AT109" s="57"/>
      <c r="AU109" s="57"/>
      <c r="AV109" s="57"/>
      <c r="AW109" s="45"/>
    </row>
    <row r="110" spans="1:49">
      <c r="A110" s="12" t="str">
        <f>Roster!A110</f>
        <v/>
      </c>
      <c r="B110" s="28">
        <f>Roster!C110</f>
        <v>0</v>
      </c>
      <c r="C110" s="55"/>
      <c r="D110" s="56"/>
      <c r="E110" s="57"/>
      <c r="F110" s="57"/>
      <c r="G110" s="57"/>
      <c r="H110" s="57"/>
      <c r="I110" s="57"/>
      <c r="J110" s="57"/>
      <c r="K110" s="45"/>
      <c r="L110" s="58"/>
      <c r="M110" s="56"/>
      <c r="N110" s="57"/>
      <c r="O110" s="57"/>
      <c r="P110" s="57"/>
      <c r="Q110" s="57"/>
      <c r="R110" s="57"/>
      <c r="S110" s="57"/>
      <c r="T110" s="45"/>
      <c r="U110" s="74"/>
      <c r="V110" s="45"/>
      <c r="W110" s="56"/>
      <c r="X110" s="57"/>
      <c r="Y110" s="57"/>
      <c r="Z110" s="57"/>
      <c r="AA110" s="57"/>
      <c r="AB110" s="57"/>
      <c r="AC110" s="57"/>
      <c r="AD110" s="45"/>
      <c r="AE110" s="65"/>
      <c r="AF110" s="56"/>
      <c r="AG110" s="57"/>
      <c r="AH110" s="57"/>
      <c r="AI110" s="57"/>
      <c r="AJ110" s="57"/>
      <c r="AK110" s="57"/>
      <c r="AL110" s="57"/>
      <c r="AM110" s="45"/>
      <c r="AN110" s="74"/>
      <c r="AO110" s="45"/>
      <c r="AP110" s="56"/>
      <c r="AQ110" s="57"/>
      <c r="AR110" s="57"/>
      <c r="AS110" s="57"/>
      <c r="AT110" s="57"/>
      <c r="AU110" s="57"/>
      <c r="AV110" s="57"/>
      <c r="AW110" s="45"/>
    </row>
    <row r="111" spans="1:49">
      <c r="A111" s="12" t="str">
        <f>Roster!A111</f>
        <v/>
      </c>
      <c r="B111" s="28">
        <f>Roster!C111</f>
        <v>0</v>
      </c>
      <c r="C111" s="55"/>
      <c r="D111" s="56"/>
      <c r="E111" s="57"/>
      <c r="F111" s="57"/>
      <c r="G111" s="57"/>
      <c r="H111" s="57"/>
      <c r="I111" s="57"/>
      <c r="J111" s="57"/>
      <c r="K111" s="45"/>
      <c r="L111" s="58"/>
      <c r="M111" s="56"/>
      <c r="N111" s="57"/>
      <c r="O111" s="57"/>
      <c r="P111" s="57"/>
      <c r="Q111" s="57"/>
      <c r="R111" s="57"/>
      <c r="S111" s="57"/>
      <c r="T111" s="45"/>
      <c r="U111" s="74"/>
      <c r="V111" s="45"/>
      <c r="W111" s="56"/>
      <c r="X111" s="57"/>
      <c r="Y111" s="57"/>
      <c r="Z111" s="57"/>
      <c r="AA111" s="57"/>
      <c r="AB111" s="57"/>
      <c r="AC111" s="57"/>
      <c r="AD111" s="45"/>
      <c r="AE111" s="65"/>
      <c r="AF111" s="56"/>
      <c r="AG111" s="57"/>
      <c r="AH111" s="57"/>
      <c r="AI111" s="57"/>
      <c r="AJ111" s="57"/>
      <c r="AK111" s="57"/>
      <c r="AL111" s="57"/>
      <c r="AM111" s="45"/>
      <c r="AN111" s="74"/>
      <c r="AO111" s="45"/>
      <c r="AP111" s="56"/>
      <c r="AQ111" s="57"/>
      <c r="AR111" s="57"/>
      <c r="AS111" s="57"/>
      <c r="AT111" s="57"/>
      <c r="AU111" s="57"/>
      <c r="AV111" s="57"/>
      <c r="AW111" s="45"/>
    </row>
    <row r="112" spans="1:49">
      <c r="A112" s="12" t="str">
        <f>Roster!A112</f>
        <v/>
      </c>
      <c r="B112" s="28">
        <f>Roster!C112</f>
        <v>0</v>
      </c>
      <c r="C112" s="55"/>
      <c r="D112" s="56"/>
      <c r="E112" s="57"/>
      <c r="F112" s="57"/>
      <c r="G112" s="57"/>
      <c r="H112" s="57"/>
      <c r="I112" s="57"/>
      <c r="J112" s="57"/>
      <c r="K112" s="45"/>
      <c r="L112" s="58"/>
      <c r="M112" s="56"/>
      <c r="N112" s="57"/>
      <c r="O112" s="57"/>
      <c r="P112" s="57"/>
      <c r="Q112" s="57"/>
      <c r="R112" s="57"/>
      <c r="S112" s="57"/>
      <c r="T112" s="45"/>
      <c r="U112" s="74"/>
      <c r="V112" s="45"/>
      <c r="W112" s="56"/>
      <c r="X112" s="57"/>
      <c r="Y112" s="57"/>
      <c r="Z112" s="57"/>
      <c r="AA112" s="57"/>
      <c r="AB112" s="57"/>
      <c r="AC112" s="57"/>
      <c r="AD112" s="45"/>
      <c r="AE112" s="65"/>
      <c r="AF112" s="56"/>
      <c r="AG112" s="57"/>
      <c r="AH112" s="57"/>
      <c r="AI112" s="57"/>
      <c r="AJ112" s="57"/>
      <c r="AK112" s="57"/>
      <c r="AL112" s="57"/>
      <c r="AM112" s="45"/>
      <c r="AN112" s="74"/>
      <c r="AO112" s="45"/>
      <c r="AP112" s="56"/>
      <c r="AQ112" s="57"/>
      <c r="AR112" s="57"/>
      <c r="AS112" s="57"/>
      <c r="AT112" s="57"/>
      <c r="AU112" s="57"/>
      <c r="AV112" s="57"/>
      <c r="AW112" s="45"/>
    </row>
    <row r="113" spans="1:49">
      <c r="A113" s="12" t="str">
        <f>Roster!A113</f>
        <v/>
      </c>
      <c r="B113" s="28">
        <f>Roster!C113</f>
        <v>0</v>
      </c>
      <c r="C113" s="55"/>
      <c r="D113" s="56"/>
      <c r="E113" s="57"/>
      <c r="F113" s="57"/>
      <c r="G113" s="57"/>
      <c r="H113" s="57"/>
      <c r="I113" s="57"/>
      <c r="J113" s="57"/>
      <c r="K113" s="45"/>
      <c r="L113" s="58"/>
      <c r="M113" s="56"/>
      <c r="N113" s="57"/>
      <c r="O113" s="57"/>
      <c r="P113" s="57"/>
      <c r="Q113" s="57"/>
      <c r="R113" s="57"/>
      <c r="S113" s="57"/>
      <c r="T113" s="45"/>
      <c r="U113" s="74"/>
      <c r="V113" s="45"/>
      <c r="W113" s="56"/>
      <c r="X113" s="57"/>
      <c r="Y113" s="57"/>
      <c r="Z113" s="57"/>
      <c r="AA113" s="57"/>
      <c r="AB113" s="57"/>
      <c r="AC113" s="57"/>
      <c r="AD113" s="45"/>
      <c r="AE113" s="65"/>
      <c r="AF113" s="56"/>
      <c r="AG113" s="57"/>
      <c r="AH113" s="57"/>
      <c r="AI113" s="57"/>
      <c r="AJ113" s="57"/>
      <c r="AK113" s="57"/>
      <c r="AL113" s="57"/>
      <c r="AM113" s="45"/>
      <c r="AN113" s="74"/>
      <c r="AO113" s="45"/>
      <c r="AP113" s="56"/>
      <c r="AQ113" s="57"/>
      <c r="AR113" s="57"/>
      <c r="AS113" s="57"/>
      <c r="AT113" s="57"/>
      <c r="AU113" s="57"/>
      <c r="AV113" s="57"/>
      <c r="AW113" s="45"/>
    </row>
    <row r="114" spans="1:49">
      <c r="A114" s="12" t="str">
        <f>Roster!A114</f>
        <v/>
      </c>
      <c r="B114" s="28">
        <f>Roster!C114</f>
        <v>0</v>
      </c>
      <c r="C114" s="55"/>
      <c r="D114" s="56"/>
      <c r="E114" s="57"/>
      <c r="F114" s="57"/>
      <c r="G114" s="57"/>
      <c r="H114" s="57"/>
      <c r="I114" s="57"/>
      <c r="J114" s="57"/>
      <c r="K114" s="45"/>
      <c r="L114" s="58"/>
      <c r="M114" s="56"/>
      <c r="N114" s="57"/>
      <c r="O114" s="57"/>
      <c r="P114" s="57"/>
      <c r="Q114" s="57"/>
      <c r="R114" s="57"/>
      <c r="S114" s="57"/>
      <c r="T114" s="45"/>
      <c r="U114" s="74"/>
      <c r="V114" s="45"/>
      <c r="W114" s="56"/>
      <c r="X114" s="57"/>
      <c r="Y114" s="57"/>
      <c r="Z114" s="57"/>
      <c r="AA114" s="57"/>
      <c r="AB114" s="57"/>
      <c r="AC114" s="57"/>
      <c r="AD114" s="45"/>
      <c r="AE114" s="65"/>
      <c r="AF114" s="56"/>
      <c r="AG114" s="57"/>
      <c r="AH114" s="57"/>
      <c r="AI114" s="57"/>
      <c r="AJ114" s="57"/>
      <c r="AK114" s="57"/>
      <c r="AL114" s="57"/>
      <c r="AM114" s="45"/>
      <c r="AN114" s="74"/>
      <c r="AO114" s="45"/>
      <c r="AP114" s="56"/>
      <c r="AQ114" s="57"/>
      <c r="AR114" s="57"/>
      <c r="AS114" s="57"/>
      <c r="AT114" s="57"/>
      <c r="AU114" s="57"/>
      <c r="AV114" s="57"/>
      <c r="AW114" s="45"/>
    </row>
    <row r="115" spans="1:49">
      <c r="A115" s="12" t="str">
        <f>Roster!A115</f>
        <v/>
      </c>
      <c r="B115" s="28">
        <f>Roster!C115</f>
        <v>0</v>
      </c>
      <c r="C115" s="55"/>
      <c r="D115" s="56"/>
      <c r="E115" s="57"/>
      <c r="F115" s="57"/>
      <c r="G115" s="57"/>
      <c r="H115" s="57"/>
      <c r="I115" s="57"/>
      <c r="J115" s="57"/>
      <c r="K115" s="45"/>
      <c r="L115" s="58"/>
      <c r="M115" s="56"/>
      <c r="N115" s="57"/>
      <c r="O115" s="57"/>
      <c r="P115" s="57"/>
      <c r="Q115" s="57"/>
      <c r="R115" s="57"/>
      <c r="S115" s="57"/>
      <c r="T115" s="45"/>
      <c r="U115" s="74"/>
      <c r="V115" s="45"/>
      <c r="W115" s="56"/>
      <c r="X115" s="57"/>
      <c r="Y115" s="57"/>
      <c r="Z115" s="57"/>
      <c r="AA115" s="57"/>
      <c r="AB115" s="57"/>
      <c r="AC115" s="57"/>
      <c r="AD115" s="45"/>
      <c r="AE115" s="65"/>
      <c r="AF115" s="56"/>
      <c r="AG115" s="57"/>
      <c r="AH115" s="57"/>
      <c r="AI115" s="57"/>
      <c r="AJ115" s="57"/>
      <c r="AK115" s="57"/>
      <c r="AL115" s="57"/>
      <c r="AM115" s="45"/>
      <c r="AN115" s="74"/>
      <c r="AO115" s="45"/>
      <c r="AP115" s="56"/>
      <c r="AQ115" s="57"/>
      <c r="AR115" s="57"/>
      <c r="AS115" s="57"/>
      <c r="AT115" s="57"/>
      <c r="AU115" s="57"/>
      <c r="AV115" s="57"/>
      <c r="AW115" s="45"/>
    </row>
    <row r="116" spans="1:49">
      <c r="A116" s="12" t="str">
        <f>Roster!A116</f>
        <v/>
      </c>
      <c r="B116" s="28">
        <f>Roster!C116</f>
        <v>0</v>
      </c>
      <c r="C116" s="55"/>
      <c r="D116" s="56"/>
      <c r="E116" s="57"/>
      <c r="F116" s="57"/>
      <c r="G116" s="57"/>
      <c r="H116" s="57"/>
      <c r="I116" s="57"/>
      <c r="J116" s="57"/>
      <c r="K116" s="45"/>
      <c r="L116" s="58"/>
      <c r="M116" s="56"/>
      <c r="N116" s="57"/>
      <c r="O116" s="57"/>
      <c r="P116" s="57"/>
      <c r="Q116" s="57"/>
      <c r="R116" s="57"/>
      <c r="S116" s="57"/>
      <c r="T116" s="45"/>
      <c r="U116" s="74"/>
      <c r="V116" s="45"/>
      <c r="W116" s="56"/>
      <c r="X116" s="57"/>
      <c r="Y116" s="57"/>
      <c r="Z116" s="57"/>
      <c r="AA116" s="57"/>
      <c r="AB116" s="57"/>
      <c r="AC116" s="57"/>
      <c r="AD116" s="45"/>
      <c r="AE116" s="65"/>
      <c r="AF116" s="56"/>
      <c r="AG116" s="57"/>
      <c r="AH116" s="57"/>
      <c r="AI116" s="57"/>
      <c r="AJ116" s="57"/>
      <c r="AK116" s="57"/>
      <c r="AL116" s="57"/>
      <c r="AM116" s="45"/>
      <c r="AN116" s="74"/>
      <c r="AO116" s="45"/>
      <c r="AP116" s="56"/>
      <c r="AQ116" s="57"/>
      <c r="AR116" s="57"/>
      <c r="AS116" s="57"/>
      <c r="AT116" s="57"/>
      <c r="AU116" s="57"/>
      <c r="AV116" s="57"/>
      <c r="AW116" s="45"/>
    </row>
    <row r="117" spans="1:49">
      <c r="A117" s="12" t="str">
        <f>Roster!A117</f>
        <v/>
      </c>
      <c r="B117" s="28">
        <f>Roster!C117</f>
        <v>0</v>
      </c>
      <c r="C117" s="55"/>
      <c r="D117" s="56"/>
      <c r="E117" s="57"/>
      <c r="F117" s="57"/>
      <c r="G117" s="57"/>
      <c r="H117" s="57"/>
      <c r="I117" s="57"/>
      <c r="J117" s="57"/>
      <c r="K117" s="45"/>
      <c r="L117" s="58"/>
      <c r="M117" s="56"/>
      <c r="N117" s="57"/>
      <c r="O117" s="57"/>
      <c r="P117" s="57"/>
      <c r="Q117" s="57"/>
      <c r="R117" s="57"/>
      <c r="S117" s="57"/>
      <c r="T117" s="45"/>
      <c r="U117" s="74"/>
      <c r="V117" s="45"/>
      <c r="W117" s="56"/>
      <c r="X117" s="57"/>
      <c r="Y117" s="57"/>
      <c r="Z117" s="57"/>
      <c r="AA117" s="57"/>
      <c r="AB117" s="57"/>
      <c r="AC117" s="57"/>
      <c r="AD117" s="45"/>
      <c r="AE117" s="65"/>
      <c r="AF117" s="56"/>
      <c r="AG117" s="57"/>
      <c r="AH117" s="57"/>
      <c r="AI117" s="57"/>
      <c r="AJ117" s="57"/>
      <c r="AK117" s="57"/>
      <c r="AL117" s="57"/>
      <c r="AM117" s="45"/>
      <c r="AN117" s="74"/>
      <c r="AO117" s="45"/>
      <c r="AP117" s="56"/>
      <c r="AQ117" s="57"/>
      <c r="AR117" s="57"/>
      <c r="AS117" s="57"/>
      <c r="AT117" s="57"/>
      <c r="AU117" s="57"/>
      <c r="AV117" s="57"/>
      <c r="AW117" s="45"/>
    </row>
    <row r="118" spans="1:49">
      <c r="A118" s="12" t="str">
        <f>Roster!A118</f>
        <v/>
      </c>
      <c r="B118" s="28">
        <f>Roster!C118</f>
        <v>0</v>
      </c>
      <c r="C118" s="55"/>
      <c r="D118" s="56"/>
      <c r="E118" s="57"/>
      <c r="F118" s="57"/>
      <c r="G118" s="57"/>
      <c r="H118" s="57"/>
      <c r="I118" s="57"/>
      <c r="J118" s="57"/>
      <c r="K118" s="45"/>
      <c r="L118" s="58"/>
      <c r="M118" s="56"/>
      <c r="N118" s="57"/>
      <c r="O118" s="57"/>
      <c r="P118" s="57"/>
      <c r="Q118" s="57"/>
      <c r="R118" s="57"/>
      <c r="S118" s="57"/>
      <c r="T118" s="45"/>
      <c r="U118" s="74"/>
      <c r="V118" s="45"/>
      <c r="W118" s="56"/>
      <c r="X118" s="57"/>
      <c r="Y118" s="57"/>
      <c r="Z118" s="57"/>
      <c r="AA118" s="57"/>
      <c r="AB118" s="57"/>
      <c r="AC118" s="57"/>
      <c r="AD118" s="45"/>
      <c r="AE118" s="65"/>
      <c r="AF118" s="56"/>
      <c r="AG118" s="57"/>
      <c r="AH118" s="57"/>
      <c r="AI118" s="57"/>
      <c r="AJ118" s="57"/>
      <c r="AK118" s="57"/>
      <c r="AL118" s="57"/>
      <c r="AM118" s="45"/>
      <c r="AN118" s="74"/>
      <c r="AO118" s="45"/>
      <c r="AP118" s="56"/>
      <c r="AQ118" s="57"/>
      <c r="AR118" s="57"/>
      <c r="AS118" s="57"/>
      <c r="AT118" s="57"/>
      <c r="AU118" s="57"/>
      <c r="AV118" s="57"/>
      <c r="AW118" s="45"/>
    </row>
    <row r="119" spans="1:49">
      <c r="A119" s="12" t="str">
        <f>Roster!A119</f>
        <v/>
      </c>
      <c r="B119" s="28">
        <f>Roster!C119</f>
        <v>0</v>
      </c>
      <c r="C119" s="55"/>
      <c r="D119" s="56"/>
      <c r="E119" s="57"/>
      <c r="F119" s="57"/>
      <c r="G119" s="57"/>
      <c r="H119" s="57"/>
      <c r="I119" s="57"/>
      <c r="J119" s="57"/>
      <c r="K119" s="45"/>
      <c r="L119" s="58"/>
      <c r="M119" s="56"/>
      <c r="N119" s="57"/>
      <c r="O119" s="57"/>
      <c r="P119" s="57"/>
      <c r="Q119" s="57"/>
      <c r="R119" s="57"/>
      <c r="S119" s="57"/>
      <c r="T119" s="45"/>
      <c r="U119" s="74"/>
      <c r="V119" s="45"/>
      <c r="W119" s="56"/>
      <c r="X119" s="57"/>
      <c r="Y119" s="57"/>
      <c r="Z119" s="57"/>
      <c r="AA119" s="57"/>
      <c r="AB119" s="57"/>
      <c r="AC119" s="57"/>
      <c r="AD119" s="45"/>
      <c r="AE119" s="65"/>
      <c r="AF119" s="56"/>
      <c r="AG119" s="57"/>
      <c r="AH119" s="57"/>
      <c r="AI119" s="57"/>
      <c r="AJ119" s="57"/>
      <c r="AK119" s="57"/>
      <c r="AL119" s="57"/>
      <c r="AM119" s="45"/>
      <c r="AN119" s="74"/>
      <c r="AO119" s="45"/>
      <c r="AP119" s="56"/>
      <c r="AQ119" s="57"/>
      <c r="AR119" s="57"/>
      <c r="AS119" s="57"/>
      <c r="AT119" s="57"/>
      <c r="AU119" s="57"/>
      <c r="AV119" s="57"/>
      <c r="AW119" s="45"/>
    </row>
    <row r="120" spans="1:49">
      <c r="A120" s="12" t="str">
        <f>Roster!A120</f>
        <v/>
      </c>
      <c r="B120" s="28">
        <f>Roster!C120</f>
        <v>0</v>
      </c>
      <c r="C120" s="55"/>
      <c r="D120" s="56"/>
      <c r="E120" s="57"/>
      <c r="F120" s="57"/>
      <c r="G120" s="57"/>
      <c r="H120" s="57"/>
      <c r="I120" s="57"/>
      <c r="J120" s="57"/>
      <c r="K120" s="45"/>
      <c r="L120" s="58"/>
      <c r="M120" s="56"/>
      <c r="N120" s="57"/>
      <c r="O120" s="57"/>
      <c r="P120" s="57"/>
      <c r="Q120" s="57"/>
      <c r="R120" s="57"/>
      <c r="S120" s="57"/>
      <c r="T120" s="45"/>
      <c r="U120" s="74"/>
      <c r="V120" s="45"/>
      <c r="W120" s="56"/>
      <c r="X120" s="57"/>
      <c r="Y120" s="57"/>
      <c r="Z120" s="57"/>
      <c r="AA120" s="57"/>
      <c r="AB120" s="57"/>
      <c r="AC120" s="57"/>
      <c r="AD120" s="45"/>
      <c r="AE120" s="65"/>
      <c r="AF120" s="56"/>
      <c r="AG120" s="57"/>
      <c r="AH120" s="57"/>
      <c r="AI120" s="57"/>
      <c r="AJ120" s="57"/>
      <c r="AK120" s="57"/>
      <c r="AL120" s="57"/>
      <c r="AM120" s="45"/>
      <c r="AN120" s="74"/>
      <c r="AO120" s="45"/>
      <c r="AP120" s="56"/>
      <c r="AQ120" s="57"/>
      <c r="AR120" s="57"/>
      <c r="AS120" s="57"/>
      <c r="AT120" s="57"/>
      <c r="AU120" s="57"/>
      <c r="AV120" s="57"/>
      <c r="AW120" s="45"/>
    </row>
    <row r="121" spans="1:49">
      <c r="A121" s="12" t="str">
        <f>Roster!A121</f>
        <v/>
      </c>
      <c r="B121" s="28">
        <f>Roster!C121</f>
        <v>0</v>
      </c>
      <c r="C121" s="55"/>
      <c r="D121" s="56"/>
      <c r="E121" s="57"/>
      <c r="F121" s="57"/>
      <c r="G121" s="57"/>
      <c r="H121" s="57"/>
      <c r="I121" s="57"/>
      <c r="J121" s="57"/>
      <c r="K121" s="45"/>
      <c r="L121" s="58"/>
      <c r="M121" s="56"/>
      <c r="N121" s="57"/>
      <c r="O121" s="57"/>
      <c r="P121" s="57"/>
      <c r="Q121" s="57"/>
      <c r="R121" s="57"/>
      <c r="S121" s="57"/>
      <c r="T121" s="45"/>
      <c r="U121" s="74"/>
      <c r="V121" s="45"/>
      <c r="W121" s="56"/>
      <c r="X121" s="57"/>
      <c r="Y121" s="57"/>
      <c r="Z121" s="57"/>
      <c r="AA121" s="57"/>
      <c r="AB121" s="57"/>
      <c r="AC121" s="57"/>
      <c r="AD121" s="45"/>
      <c r="AE121" s="65"/>
      <c r="AF121" s="56"/>
      <c r="AG121" s="57"/>
      <c r="AH121" s="57"/>
      <c r="AI121" s="57"/>
      <c r="AJ121" s="57"/>
      <c r="AK121" s="57"/>
      <c r="AL121" s="57"/>
      <c r="AM121" s="45"/>
      <c r="AN121" s="74"/>
      <c r="AO121" s="45"/>
      <c r="AP121" s="56"/>
      <c r="AQ121" s="57"/>
      <c r="AR121" s="57"/>
      <c r="AS121" s="57"/>
      <c r="AT121" s="57"/>
      <c r="AU121" s="57"/>
      <c r="AV121" s="57"/>
      <c r="AW121" s="45"/>
    </row>
    <row r="122" spans="1:49">
      <c r="A122" s="12" t="str">
        <f>Roster!A122</f>
        <v/>
      </c>
      <c r="B122" s="28">
        <f>Roster!C122</f>
        <v>0</v>
      </c>
      <c r="C122" s="55"/>
      <c r="D122" s="56"/>
      <c r="E122" s="57"/>
      <c r="F122" s="57"/>
      <c r="G122" s="57"/>
      <c r="H122" s="57"/>
      <c r="I122" s="57"/>
      <c r="J122" s="57"/>
      <c r="K122" s="45"/>
      <c r="L122" s="58"/>
      <c r="M122" s="56"/>
      <c r="N122" s="57"/>
      <c r="O122" s="57"/>
      <c r="P122" s="57"/>
      <c r="Q122" s="57"/>
      <c r="R122" s="57"/>
      <c r="S122" s="57"/>
      <c r="T122" s="45"/>
      <c r="U122" s="74"/>
      <c r="V122" s="45"/>
      <c r="W122" s="56"/>
      <c r="X122" s="57"/>
      <c r="Y122" s="57"/>
      <c r="Z122" s="57"/>
      <c r="AA122" s="57"/>
      <c r="AB122" s="57"/>
      <c r="AC122" s="57"/>
      <c r="AD122" s="45"/>
      <c r="AE122" s="65"/>
      <c r="AF122" s="56"/>
      <c r="AG122" s="57"/>
      <c r="AH122" s="57"/>
      <c r="AI122" s="57"/>
      <c r="AJ122" s="57"/>
      <c r="AK122" s="57"/>
      <c r="AL122" s="57"/>
      <c r="AM122" s="45"/>
      <c r="AN122" s="74"/>
      <c r="AO122" s="45"/>
      <c r="AP122" s="56"/>
      <c r="AQ122" s="57"/>
      <c r="AR122" s="57"/>
      <c r="AS122" s="57"/>
      <c r="AT122" s="57"/>
      <c r="AU122" s="57"/>
      <c r="AV122" s="57"/>
      <c r="AW122" s="45"/>
    </row>
    <row r="123" spans="1:49">
      <c r="A123" s="12" t="str">
        <f>Roster!A123</f>
        <v/>
      </c>
      <c r="B123" s="28">
        <f>Roster!C123</f>
        <v>0</v>
      </c>
      <c r="C123" s="55"/>
      <c r="D123" s="56"/>
      <c r="E123" s="57"/>
      <c r="F123" s="57"/>
      <c r="G123" s="57"/>
      <c r="H123" s="57"/>
      <c r="I123" s="57"/>
      <c r="J123" s="57"/>
      <c r="K123" s="45"/>
      <c r="L123" s="58"/>
      <c r="M123" s="56"/>
      <c r="N123" s="57"/>
      <c r="O123" s="57"/>
      <c r="P123" s="57"/>
      <c r="Q123" s="57"/>
      <c r="R123" s="57"/>
      <c r="S123" s="57"/>
      <c r="T123" s="45"/>
      <c r="U123" s="74"/>
      <c r="V123" s="45"/>
      <c r="W123" s="56"/>
      <c r="X123" s="57"/>
      <c r="Y123" s="57"/>
      <c r="Z123" s="57"/>
      <c r="AA123" s="57"/>
      <c r="AB123" s="57"/>
      <c r="AC123" s="57"/>
      <c r="AD123" s="45"/>
      <c r="AE123" s="65"/>
      <c r="AF123" s="56"/>
      <c r="AG123" s="57"/>
      <c r="AH123" s="57"/>
      <c r="AI123" s="57"/>
      <c r="AJ123" s="57"/>
      <c r="AK123" s="57"/>
      <c r="AL123" s="57"/>
      <c r="AM123" s="45"/>
      <c r="AN123" s="74"/>
      <c r="AO123" s="45"/>
      <c r="AP123" s="56"/>
      <c r="AQ123" s="57"/>
      <c r="AR123" s="57"/>
      <c r="AS123" s="57"/>
      <c r="AT123" s="57"/>
      <c r="AU123" s="57"/>
      <c r="AV123" s="57"/>
      <c r="AW123" s="45"/>
    </row>
    <row r="124" spans="1:49">
      <c r="A124" s="12" t="str">
        <f>Roster!A124</f>
        <v/>
      </c>
      <c r="B124" s="28">
        <f>Roster!C124</f>
        <v>0</v>
      </c>
      <c r="C124" s="55"/>
      <c r="D124" s="56"/>
      <c r="E124" s="57"/>
      <c r="F124" s="57"/>
      <c r="G124" s="57"/>
      <c r="H124" s="57"/>
      <c r="I124" s="57"/>
      <c r="J124" s="57"/>
      <c r="K124" s="45"/>
      <c r="L124" s="58"/>
      <c r="M124" s="56"/>
      <c r="N124" s="57"/>
      <c r="O124" s="57"/>
      <c r="P124" s="57"/>
      <c r="Q124" s="57"/>
      <c r="R124" s="57"/>
      <c r="S124" s="57"/>
      <c r="T124" s="45"/>
      <c r="U124" s="74"/>
      <c r="V124" s="45"/>
      <c r="W124" s="56"/>
      <c r="X124" s="57"/>
      <c r="Y124" s="57"/>
      <c r="Z124" s="57"/>
      <c r="AA124" s="57"/>
      <c r="AB124" s="57"/>
      <c r="AC124" s="57"/>
      <c r="AD124" s="45"/>
      <c r="AE124" s="65"/>
      <c r="AF124" s="56"/>
      <c r="AG124" s="57"/>
      <c r="AH124" s="57"/>
      <c r="AI124" s="57"/>
      <c r="AJ124" s="57"/>
      <c r="AK124" s="57"/>
      <c r="AL124" s="57"/>
      <c r="AM124" s="45"/>
      <c r="AN124" s="74"/>
      <c r="AO124" s="45"/>
      <c r="AP124" s="56"/>
      <c r="AQ124" s="57"/>
      <c r="AR124" s="57"/>
      <c r="AS124" s="57"/>
      <c r="AT124" s="57"/>
      <c r="AU124" s="57"/>
      <c r="AV124" s="57"/>
      <c r="AW124" s="45"/>
    </row>
    <row r="125" spans="1:49">
      <c r="A125" s="12" t="str">
        <f>Roster!A125</f>
        <v/>
      </c>
      <c r="B125" s="28">
        <f>Roster!C125</f>
        <v>0</v>
      </c>
      <c r="C125" s="55"/>
      <c r="D125" s="56"/>
      <c r="E125" s="57"/>
      <c r="F125" s="57"/>
      <c r="G125" s="57"/>
      <c r="H125" s="57"/>
      <c r="I125" s="57"/>
      <c r="J125" s="57"/>
      <c r="K125" s="45"/>
      <c r="L125" s="58"/>
      <c r="M125" s="56"/>
      <c r="N125" s="57"/>
      <c r="O125" s="57"/>
      <c r="P125" s="57"/>
      <c r="Q125" s="57"/>
      <c r="R125" s="57"/>
      <c r="S125" s="57"/>
      <c r="T125" s="45"/>
      <c r="U125" s="74"/>
      <c r="V125" s="45"/>
      <c r="W125" s="56"/>
      <c r="X125" s="57"/>
      <c r="Y125" s="57"/>
      <c r="Z125" s="57"/>
      <c r="AA125" s="57"/>
      <c r="AB125" s="57"/>
      <c r="AC125" s="57"/>
      <c r="AD125" s="45"/>
      <c r="AE125" s="65"/>
      <c r="AF125" s="56"/>
      <c r="AG125" s="57"/>
      <c r="AH125" s="57"/>
      <c r="AI125" s="57"/>
      <c r="AJ125" s="57"/>
      <c r="AK125" s="57"/>
      <c r="AL125" s="57"/>
      <c r="AM125" s="45"/>
      <c r="AN125" s="74"/>
      <c r="AO125" s="45"/>
      <c r="AP125" s="56"/>
      <c r="AQ125" s="57"/>
      <c r="AR125" s="57"/>
      <c r="AS125" s="57"/>
      <c r="AT125" s="57"/>
      <c r="AU125" s="57"/>
      <c r="AV125" s="57"/>
      <c r="AW125" s="45"/>
    </row>
    <row r="126" spans="1:49">
      <c r="A126" s="12" t="str">
        <f>Roster!A126</f>
        <v/>
      </c>
      <c r="B126" s="28">
        <f>Roster!C126</f>
        <v>0</v>
      </c>
      <c r="C126" s="55"/>
      <c r="D126" s="56"/>
      <c r="E126" s="57"/>
      <c r="F126" s="57"/>
      <c r="G126" s="57"/>
      <c r="H126" s="57"/>
      <c r="I126" s="57"/>
      <c r="J126" s="57"/>
      <c r="K126" s="45"/>
      <c r="L126" s="58"/>
      <c r="M126" s="56"/>
      <c r="N126" s="57"/>
      <c r="O126" s="57"/>
      <c r="P126" s="57"/>
      <c r="Q126" s="57"/>
      <c r="R126" s="57"/>
      <c r="S126" s="57"/>
      <c r="T126" s="45"/>
      <c r="U126" s="74"/>
      <c r="V126" s="45"/>
      <c r="W126" s="56"/>
      <c r="X126" s="57"/>
      <c r="Y126" s="57"/>
      <c r="Z126" s="57"/>
      <c r="AA126" s="57"/>
      <c r="AB126" s="57"/>
      <c r="AC126" s="57"/>
      <c r="AD126" s="45"/>
      <c r="AE126" s="65"/>
      <c r="AF126" s="56"/>
      <c r="AG126" s="57"/>
      <c r="AH126" s="57"/>
      <c r="AI126" s="57"/>
      <c r="AJ126" s="57"/>
      <c r="AK126" s="57"/>
      <c r="AL126" s="57"/>
      <c r="AM126" s="45"/>
      <c r="AN126" s="74"/>
      <c r="AO126" s="45"/>
      <c r="AP126" s="56"/>
      <c r="AQ126" s="57"/>
      <c r="AR126" s="57"/>
      <c r="AS126" s="57"/>
      <c r="AT126" s="57"/>
      <c r="AU126" s="57"/>
      <c r="AV126" s="57"/>
      <c r="AW126" s="45"/>
    </row>
    <row r="127" spans="1:49">
      <c r="A127" s="12" t="str">
        <f>Roster!A127</f>
        <v/>
      </c>
      <c r="B127" s="28">
        <f>Roster!C127</f>
        <v>0</v>
      </c>
      <c r="C127" s="55"/>
      <c r="D127" s="56"/>
      <c r="E127" s="57"/>
      <c r="F127" s="57"/>
      <c r="G127" s="57"/>
      <c r="H127" s="57"/>
      <c r="I127" s="57"/>
      <c r="J127" s="57"/>
      <c r="K127" s="45"/>
      <c r="L127" s="58"/>
      <c r="M127" s="56"/>
      <c r="N127" s="57"/>
      <c r="O127" s="57"/>
      <c r="P127" s="57"/>
      <c r="Q127" s="57"/>
      <c r="R127" s="57"/>
      <c r="S127" s="57"/>
      <c r="T127" s="45"/>
      <c r="U127" s="74"/>
      <c r="V127" s="45"/>
      <c r="W127" s="56"/>
      <c r="X127" s="57"/>
      <c r="Y127" s="57"/>
      <c r="Z127" s="57"/>
      <c r="AA127" s="57"/>
      <c r="AB127" s="57"/>
      <c r="AC127" s="57"/>
      <c r="AD127" s="45"/>
      <c r="AE127" s="65"/>
      <c r="AF127" s="56"/>
      <c r="AG127" s="57"/>
      <c r="AH127" s="57"/>
      <c r="AI127" s="57"/>
      <c r="AJ127" s="57"/>
      <c r="AK127" s="57"/>
      <c r="AL127" s="57"/>
      <c r="AM127" s="45"/>
      <c r="AN127" s="74"/>
      <c r="AO127" s="45"/>
      <c r="AP127" s="56"/>
      <c r="AQ127" s="57"/>
      <c r="AR127" s="57"/>
      <c r="AS127" s="57"/>
      <c r="AT127" s="57"/>
      <c r="AU127" s="57"/>
      <c r="AV127" s="57"/>
      <c r="AW127" s="45"/>
    </row>
    <row r="128" spans="1:49">
      <c r="A128" s="12" t="str">
        <f>Roster!A128</f>
        <v/>
      </c>
      <c r="B128" s="28">
        <f>Roster!C128</f>
        <v>0</v>
      </c>
      <c r="C128" s="55"/>
      <c r="D128" s="56"/>
      <c r="E128" s="57"/>
      <c r="F128" s="57"/>
      <c r="G128" s="57"/>
      <c r="H128" s="57"/>
      <c r="I128" s="57"/>
      <c r="J128" s="57"/>
      <c r="K128" s="45"/>
      <c r="L128" s="58"/>
      <c r="M128" s="56"/>
      <c r="N128" s="57"/>
      <c r="O128" s="57"/>
      <c r="P128" s="57"/>
      <c r="Q128" s="57"/>
      <c r="R128" s="57"/>
      <c r="S128" s="57"/>
      <c r="T128" s="45"/>
      <c r="U128" s="74"/>
      <c r="V128" s="45"/>
      <c r="W128" s="56"/>
      <c r="X128" s="57"/>
      <c r="Y128" s="57"/>
      <c r="Z128" s="57"/>
      <c r="AA128" s="57"/>
      <c r="AB128" s="57"/>
      <c r="AC128" s="57"/>
      <c r="AD128" s="45"/>
      <c r="AE128" s="65"/>
      <c r="AF128" s="56"/>
      <c r="AG128" s="57"/>
      <c r="AH128" s="57"/>
      <c r="AI128" s="57"/>
      <c r="AJ128" s="57"/>
      <c r="AK128" s="57"/>
      <c r="AL128" s="57"/>
      <c r="AM128" s="45"/>
      <c r="AN128" s="74"/>
      <c r="AO128" s="45"/>
      <c r="AP128" s="56"/>
      <c r="AQ128" s="57"/>
      <c r="AR128" s="57"/>
      <c r="AS128" s="57"/>
      <c r="AT128" s="57"/>
      <c r="AU128" s="57"/>
      <c r="AV128" s="57"/>
      <c r="AW128" s="45"/>
    </row>
    <row r="129" spans="1:49">
      <c r="A129" s="12" t="str">
        <f>Roster!A129</f>
        <v/>
      </c>
      <c r="B129" s="28">
        <f>Roster!C129</f>
        <v>0</v>
      </c>
      <c r="C129" s="55"/>
      <c r="D129" s="56"/>
      <c r="E129" s="57"/>
      <c r="F129" s="57"/>
      <c r="G129" s="57"/>
      <c r="H129" s="57"/>
      <c r="I129" s="57"/>
      <c r="J129" s="57"/>
      <c r="K129" s="45"/>
      <c r="L129" s="58"/>
      <c r="M129" s="56"/>
      <c r="N129" s="57"/>
      <c r="O129" s="57"/>
      <c r="P129" s="57"/>
      <c r="Q129" s="57"/>
      <c r="R129" s="57"/>
      <c r="S129" s="57"/>
      <c r="T129" s="45"/>
      <c r="U129" s="74"/>
      <c r="V129" s="45"/>
      <c r="W129" s="56"/>
      <c r="X129" s="57"/>
      <c r="Y129" s="57"/>
      <c r="Z129" s="57"/>
      <c r="AA129" s="57"/>
      <c r="AB129" s="57"/>
      <c r="AC129" s="57"/>
      <c r="AD129" s="45"/>
      <c r="AE129" s="65"/>
      <c r="AF129" s="56"/>
      <c r="AG129" s="57"/>
      <c r="AH129" s="57"/>
      <c r="AI129" s="57"/>
      <c r="AJ129" s="57"/>
      <c r="AK129" s="57"/>
      <c r="AL129" s="57"/>
      <c r="AM129" s="45"/>
      <c r="AN129" s="74"/>
      <c r="AO129" s="45"/>
      <c r="AP129" s="56"/>
      <c r="AQ129" s="57"/>
      <c r="AR129" s="57"/>
      <c r="AS129" s="57"/>
      <c r="AT129" s="57"/>
      <c r="AU129" s="57"/>
      <c r="AV129" s="57"/>
      <c r="AW129" s="45"/>
    </row>
    <row r="130" spans="1:49">
      <c r="A130" s="12" t="str">
        <f>Roster!A130</f>
        <v/>
      </c>
      <c r="B130" s="28">
        <f>Roster!C130</f>
        <v>0</v>
      </c>
      <c r="C130" s="55"/>
      <c r="D130" s="56"/>
      <c r="E130" s="57"/>
      <c r="F130" s="57"/>
      <c r="G130" s="57"/>
      <c r="H130" s="57"/>
      <c r="I130" s="57"/>
      <c r="J130" s="57"/>
      <c r="K130" s="45"/>
      <c r="L130" s="58"/>
      <c r="M130" s="56"/>
      <c r="N130" s="57"/>
      <c r="O130" s="57"/>
      <c r="P130" s="57"/>
      <c r="Q130" s="57"/>
      <c r="R130" s="57"/>
      <c r="S130" s="57"/>
      <c r="T130" s="45"/>
      <c r="U130" s="74"/>
      <c r="V130" s="45"/>
      <c r="W130" s="56"/>
      <c r="X130" s="57"/>
      <c r="Y130" s="57"/>
      <c r="Z130" s="57"/>
      <c r="AA130" s="57"/>
      <c r="AB130" s="57"/>
      <c r="AC130" s="57"/>
      <c r="AD130" s="45"/>
      <c r="AE130" s="65"/>
      <c r="AF130" s="56"/>
      <c r="AG130" s="57"/>
      <c r="AH130" s="57"/>
      <c r="AI130" s="57"/>
      <c r="AJ130" s="57"/>
      <c r="AK130" s="57"/>
      <c r="AL130" s="57"/>
      <c r="AM130" s="45"/>
      <c r="AN130" s="74"/>
      <c r="AO130" s="45"/>
      <c r="AP130" s="56"/>
      <c r="AQ130" s="57"/>
      <c r="AR130" s="57"/>
      <c r="AS130" s="57"/>
      <c r="AT130" s="57"/>
      <c r="AU130" s="57"/>
      <c r="AV130" s="57"/>
      <c r="AW130" s="45"/>
    </row>
    <row r="131" spans="1:49">
      <c r="A131" s="12" t="str">
        <f>Roster!A131</f>
        <v/>
      </c>
      <c r="B131" s="28">
        <f>Roster!C131</f>
        <v>0</v>
      </c>
      <c r="C131" s="55"/>
      <c r="D131" s="56"/>
      <c r="E131" s="57"/>
      <c r="F131" s="57"/>
      <c r="G131" s="57"/>
      <c r="H131" s="57"/>
      <c r="I131" s="57"/>
      <c r="J131" s="57"/>
      <c r="K131" s="45"/>
      <c r="L131" s="58"/>
      <c r="M131" s="56"/>
      <c r="N131" s="57"/>
      <c r="O131" s="57"/>
      <c r="P131" s="57"/>
      <c r="Q131" s="57"/>
      <c r="R131" s="57"/>
      <c r="S131" s="57"/>
      <c r="T131" s="45"/>
      <c r="U131" s="74"/>
      <c r="V131" s="45"/>
      <c r="W131" s="56"/>
      <c r="X131" s="57"/>
      <c r="Y131" s="57"/>
      <c r="Z131" s="57"/>
      <c r="AA131" s="57"/>
      <c r="AB131" s="57"/>
      <c r="AC131" s="57"/>
      <c r="AD131" s="45"/>
      <c r="AE131" s="65"/>
      <c r="AF131" s="56"/>
      <c r="AG131" s="57"/>
      <c r="AH131" s="57"/>
      <c r="AI131" s="57"/>
      <c r="AJ131" s="57"/>
      <c r="AK131" s="57"/>
      <c r="AL131" s="57"/>
      <c r="AM131" s="45"/>
      <c r="AN131" s="74"/>
      <c r="AO131" s="45"/>
      <c r="AP131" s="56"/>
      <c r="AQ131" s="57"/>
      <c r="AR131" s="57"/>
      <c r="AS131" s="57"/>
      <c r="AT131" s="57"/>
      <c r="AU131" s="57"/>
      <c r="AV131" s="57"/>
      <c r="AW131" s="45"/>
    </row>
    <row r="132" spans="1:49">
      <c r="A132" s="12" t="str">
        <f>Roster!A132</f>
        <v/>
      </c>
      <c r="B132" s="28">
        <f>Roster!C132</f>
        <v>0</v>
      </c>
      <c r="C132" s="55"/>
      <c r="D132" s="56"/>
      <c r="E132" s="57"/>
      <c r="F132" s="57"/>
      <c r="G132" s="57"/>
      <c r="H132" s="57"/>
      <c r="I132" s="57"/>
      <c r="J132" s="57"/>
      <c r="K132" s="45"/>
      <c r="L132" s="58"/>
      <c r="M132" s="56"/>
      <c r="N132" s="57"/>
      <c r="O132" s="57"/>
      <c r="P132" s="57"/>
      <c r="Q132" s="57"/>
      <c r="R132" s="57"/>
      <c r="S132" s="57"/>
      <c r="T132" s="45"/>
      <c r="U132" s="74"/>
      <c r="V132" s="45"/>
      <c r="W132" s="56"/>
      <c r="X132" s="57"/>
      <c r="Y132" s="57"/>
      <c r="Z132" s="57"/>
      <c r="AA132" s="57"/>
      <c r="AB132" s="57"/>
      <c r="AC132" s="57"/>
      <c r="AD132" s="45"/>
      <c r="AE132" s="65"/>
      <c r="AF132" s="56"/>
      <c r="AG132" s="57"/>
      <c r="AH132" s="57"/>
      <c r="AI132" s="57"/>
      <c r="AJ132" s="57"/>
      <c r="AK132" s="57"/>
      <c r="AL132" s="57"/>
      <c r="AM132" s="45"/>
      <c r="AN132" s="74"/>
      <c r="AO132" s="45"/>
      <c r="AP132" s="56"/>
      <c r="AQ132" s="57"/>
      <c r="AR132" s="57"/>
      <c r="AS132" s="57"/>
      <c r="AT132" s="57"/>
      <c r="AU132" s="57"/>
      <c r="AV132" s="57"/>
      <c r="AW132" s="45"/>
    </row>
    <row r="133" spans="1:49">
      <c r="A133" s="12" t="str">
        <f>Roster!A133</f>
        <v/>
      </c>
      <c r="B133" s="28">
        <f>Roster!C133</f>
        <v>0</v>
      </c>
      <c r="C133" s="55"/>
      <c r="D133" s="56"/>
      <c r="E133" s="57"/>
      <c r="F133" s="57"/>
      <c r="G133" s="57"/>
      <c r="H133" s="57"/>
      <c r="I133" s="57"/>
      <c r="J133" s="57"/>
      <c r="K133" s="45"/>
      <c r="L133" s="58"/>
      <c r="M133" s="56"/>
      <c r="N133" s="57"/>
      <c r="O133" s="57"/>
      <c r="P133" s="57"/>
      <c r="Q133" s="57"/>
      <c r="R133" s="57"/>
      <c r="S133" s="57"/>
      <c r="T133" s="45"/>
      <c r="U133" s="74"/>
      <c r="V133" s="45"/>
      <c r="W133" s="56"/>
      <c r="X133" s="57"/>
      <c r="Y133" s="57"/>
      <c r="Z133" s="57"/>
      <c r="AA133" s="57"/>
      <c r="AB133" s="57"/>
      <c r="AC133" s="57"/>
      <c r="AD133" s="45"/>
      <c r="AE133" s="65"/>
      <c r="AF133" s="56"/>
      <c r="AG133" s="57"/>
      <c r="AH133" s="57"/>
      <c r="AI133" s="57"/>
      <c r="AJ133" s="57"/>
      <c r="AK133" s="57"/>
      <c r="AL133" s="57"/>
      <c r="AM133" s="45"/>
      <c r="AN133" s="74"/>
      <c r="AO133" s="45"/>
      <c r="AP133" s="56"/>
      <c r="AQ133" s="57"/>
      <c r="AR133" s="57"/>
      <c r="AS133" s="57"/>
      <c r="AT133" s="57"/>
      <c r="AU133" s="57"/>
      <c r="AV133" s="57"/>
      <c r="AW133" s="45"/>
    </row>
    <row r="134" spans="1:49">
      <c r="A134" s="12" t="str">
        <f>Roster!A134</f>
        <v/>
      </c>
      <c r="B134" s="28">
        <f>Roster!C134</f>
        <v>0</v>
      </c>
      <c r="C134" s="55"/>
      <c r="D134" s="56"/>
      <c r="E134" s="57"/>
      <c r="F134" s="57"/>
      <c r="G134" s="57"/>
      <c r="H134" s="57"/>
      <c r="I134" s="57"/>
      <c r="J134" s="57"/>
      <c r="K134" s="45"/>
      <c r="L134" s="58"/>
      <c r="M134" s="56"/>
      <c r="N134" s="57"/>
      <c r="O134" s="57"/>
      <c r="P134" s="57"/>
      <c r="Q134" s="57"/>
      <c r="R134" s="57"/>
      <c r="S134" s="57"/>
      <c r="T134" s="45"/>
      <c r="U134" s="74"/>
      <c r="V134" s="45"/>
      <c r="W134" s="56"/>
      <c r="X134" s="57"/>
      <c r="Y134" s="57"/>
      <c r="Z134" s="57"/>
      <c r="AA134" s="57"/>
      <c r="AB134" s="57"/>
      <c r="AC134" s="57"/>
      <c r="AD134" s="45"/>
      <c r="AE134" s="65"/>
      <c r="AF134" s="56"/>
      <c r="AG134" s="57"/>
      <c r="AH134" s="57"/>
      <c r="AI134" s="57"/>
      <c r="AJ134" s="57"/>
      <c r="AK134" s="57"/>
      <c r="AL134" s="57"/>
      <c r="AM134" s="45"/>
      <c r="AN134" s="74"/>
      <c r="AO134" s="45"/>
      <c r="AP134" s="56"/>
      <c r="AQ134" s="57"/>
      <c r="AR134" s="57"/>
      <c r="AS134" s="57"/>
      <c r="AT134" s="57"/>
      <c r="AU134" s="57"/>
      <c r="AV134" s="57"/>
      <c r="AW134" s="45"/>
    </row>
    <row r="135" spans="1:49">
      <c r="A135" s="12" t="str">
        <f>Roster!A135</f>
        <v/>
      </c>
      <c r="B135" s="28">
        <f>Roster!C135</f>
        <v>0</v>
      </c>
      <c r="C135" s="55"/>
      <c r="D135" s="56"/>
      <c r="E135" s="57"/>
      <c r="F135" s="57"/>
      <c r="G135" s="57"/>
      <c r="H135" s="57"/>
      <c r="I135" s="57"/>
      <c r="J135" s="57"/>
      <c r="K135" s="45"/>
      <c r="L135" s="58"/>
      <c r="M135" s="56"/>
      <c r="N135" s="57"/>
      <c r="O135" s="57"/>
      <c r="P135" s="57"/>
      <c r="Q135" s="57"/>
      <c r="R135" s="57"/>
      <c r="S135" s="57"/>
      <c r="T135" s="45"/>
      <c r="U135" s="74"/>
      <c r="V135" s="45"/>
      <c r="W135" s="56"/>
      <c r="X135" s="57"/>
      <c r="Y135" s="57"/>
      <c r="Z135" s="57"/>
      <c r="AA135" s="57"/>
      <c r="AB135" s="57"/>
      <c r="AC135" s="57"/>
      <c r="AD135" s="45"/>
      <c r="AE135" s="65"/>
      <c r="AF135" s="56"/>
      <c r="AG135" s="57"/>
      <c r="AH135" s="57"/>
      <c r="AI135" s="57"/>
      <c r="AJ135" s="57"/>
      <c r="AK135" s="57"/>
      <c r="AL135" s="57"/>
      <c r="AM135" s="45"/>
      <c r="AN135" s="74"/>
      <c r="AO135" s="45"/>
      <c r="AP135" s="56"/>
      <c r="AQ135" s="57"/>
      <c r="AR135" s="57"/>
      <c r="AS135" s="57"/>
      <c r="AT135" s="57"/>
      <c r="AU135" s="57"/>
      <c r="AV135" s="57"/>
      <c r="AW135" s="45"/>
    </row>
    <row r="136" spans="1:49">
      <c r="A136" s="12" t="str">
        <f>Roster!A136</f>
        <v/>
      </c>
      <c r="B136" s="28">
        <f>Roster!C136</f>
        <v>0</v>
      </c>
      <c r="C136" s="55"/>
      <c r="D136" s="56"/>
      <c r="E136" s="57"/>
      <c r="F136" s="57"/>
      <c r="G136" s="57"/>
      <c r="H136" s="57"/>
      <c r="I136" s="57"/>
      <c r="J136" s="57"/>
      <c r="K136" s="45"/>
      <c r="L136" s="58"/>
      <c r="M136" s="56"/>
      <c r="N136" s="57"/>
      <c r="O136" s="57"/>
      <c r="P136" s="57"/>
      <c r="Q136" s="57"/>
      <c r="R136" s="57"/>
      <c r="S136" s="57"/>
      <c r="T136" s="45"/>
      <c r="U136" s="74"/>
      <c r="V136" s="45"/>
      <c r="W136" s="56"/>
      <c r="X136" s="57"/>
      <c r="Y136" s="57"/>
      <c r="Z136" s="57"/>
      <c r="AA136" s="57"/>
      <c r="AB136" s="57"/>
      <c r="AC136" s="57"/>
      <c r="AD136" s="45"/>
      <c r="AE136" s="65"/>
      <c r="AF136" s="56"/>
      <c r="AG136" s="57"/>
      <c r="AH136" s="57"/>
      <c r="AI136" s="57"/>
      <c r="AJ136" s="57"/>
      <c r="AK136" s="57"/>
      <c r="AL136" s="57"/>
      <c r="AM136" s="45"/>
      <c r="AN136" s="74"/>
      <c r="AO136" s="45"/>
      <c r="AP136" s="56"/>
      <c r="AQ136" s="57"/>
      <c r="AR136" s="57"/>
      <c r="AS136" s="57"/>
      <c r="AT136" s="57"/>
      <c r="AU136" s="57"/>
      <c r="AV136" s="57"/>
      <c r="AW136" s="45"/>
    </row>
    <row r="137" spans="1:49">
      <c r="A137" s="12" t="str">
        <f>Roster!A137</f>
        <v/>
      </c>
      <c r="B137" s="28">
        <f>Roster!C137</f>
        <v>0</v>
      </c>
      <c r="C137" s="55"/>
      <c r="D137" s="56"/>
      <c r="E137" s="57"/>
      <c r="F137" s="57"/>
      <c r="G137" s="57"/>
      <c r="H137" s="57"/>
      <c r="I137" s="57"/>
      <c r="J137" s="57"/>
      <c r="K137" s="45"/>
      <c r="L137" s="58"/>
      <c r="M137" s="56"/>
      <c r="N137" s="57"/>
      <c r="O137" s="57"/>
      <c r="P137" s="57"/>
      <c r="Q137" s="57"/>
      <c r="R137" s="57"/>
      <c r="S137" s="57"/>
      <c r="T137" s="45"/>
      <c r="U137" s="74"/>
      <c r="V137" s="45"/>
      <c r="W137" s="56"/>
      <c r="X137" s="57"/>
      <c r="Y137" s="57"/>
      <c r="Z137" s="57"/>
      <c r="AA137" s="57"/>
      <c r="AB137" s="57"/>
      <c r="AC137" s="57"/>
      <c r="AD137" s="45"/>
      <c r="AE137" s="65"/>
      <c r="AF137" s="56"/>
      <c r="AG137" s="57"/>
      <c r="AH137" s="57"/>
      <c r="AI137" s="57"/>
      <c r="AJ137" s="57"/>
      <c r="AK137" s="57"/>
      <c r="AL137" s="57"/>
      <c r="AM137" s="45"/>
      <c r="AN137" s="74"/>
      <c r="AO137" s="45"/>
      <c r="AP137" s="56"/>
      <c r="AQ137" s="57"/>
      <c r="AR137" s="57"/>
      <c r="AS137" s="57"/>
      <c r="AT137" s="57"/>
      <c r="AU137" s="57"/>
      <c r="AV137" s="57"/>
      <c r="AW137" s="45"/>
    </row>
    <row r="138" spans="1:49">
      <c r="A138" s="12" t="str">
        <f>Roster!A138</f>
        <v/>
      </c>
      <c r="B138" s="28">
        <f>Roster!C138</f>
        <v>0</v>
      </c>
      <c r="C138" s="55"/>
      <c r="D138" s="56"/>
      <c r="E138" s="57"/>
      <c r="F138" s="57"/>
      <c r="G138" s="57"/>
      <c r="H138" s="57"/>
      <c r="I138" s="57"/>
      <c r="J138" s="57"/>
      <c r="K138" s="45"/>
      <c r="L138" s="58"/>
      <c r="M138" s="56"/>
      <c r="N138" s="57"/>
      <c r="O138" s="57"/>
      <c r="P138" s="57"/>
      <c r="Q138" s="57"/>
      <c r="R138" s="57"/>
      <c r="S138" s="57"/>
      <c r="T138" s="45"/>
      <c r="U138" s="74"/>
      <c r="V138" s="45"/>
      <c r="W138" s="56"/>
      <c r="X138" s="57"/>
      <c r="Y138" s="57"/>
      <c r="Z138" s="57"/>
      <c r="AA138" s="57"/>
      <c r="AB138" s="57"/>
      <c r="AC138" s="57"/>
      <c r="AD138" s="45"/>
      <c r="AE138" s="65"/>
      <c r="AF138" s="56"/>
      <c r="AG138" s="57"/>
      <c r="AH138" s="57"/>
      <c r="AI138" s="57"/>
      <c r="AJ138" s="57"/>
      <c r="AK138" s="57"/>
      <c r="AL138" s="57"/>
      <c r="AM138" s="45"/>
      <c r="AN138" s="74"/>
      <c r="AO138" s="45"/>
      <c r="AP138" s="56"/>
      <c r="AQ138" s="57"/>
      <c r="AR138" s="57"/>
      <c r="AS138" s="57"/>
      <c r="AT138" s="57"/>
      <c r="AU138" s="57"/>
      <c r="AV138" s="57"/>
      <c r="AW138" s="45"/>
    </row>
    <row r="139" spans="1:49">
      <c r="A139" s="12" t="str">
        <f>Roster!A139</f>
        <v/>
      </c>
      <c r="B139" s="28">
        <f>Roster!C139</f>
        <v>0</v>
      </c>
      <c r="C139" s="55"/>
      <c r="D139" s="56"/>
      <c r="E139" s="57"/>
      <c r="F139" s="57"/>
      <c r="G139" s="57"/>
      <c r="H139" s="57"/>
      <c r="I139" s="57"/>
      <c r="J139" s="57"/>
      <c r="K139" s="45"/>
      <c r="L139" s="58"/>
      <c r="M139" s="56"/>
      <c r="N139" s="57"/>
      <c r="O139" s="57"/>
      <c r="P139" s="57"/>
      <c r="Q139" s="57"/>
      <c r="R139" s="57"/>
      <c r="S139" s="57"/>
      <c r="T139" s="45"/>
      <c r="U139" s="74"/>
      <c r="V139" s="45"/>
      <c r="W139" s="56"/>
      <c r="X139" s="57"/>
      <c r="Y139" s="57"/>
      <c r="Z139" s="57"/>
      <c r="AA139" s="57"/>
      <c r="AB139" s="57"/>
      <c r="AC139" s="57"/>
      <c r="AD139" s="45"/>
      <c r="AE139" s="65"/>
      <c r="AF139" s="56"/>
      <c r="AG139" s="57"/>
      <c r="AH139" s="57"/>
      <c r="AI139" s="57"/>
      <c r="AJ139" s="57"/>
      <c r="AK139" s="57"/>
      <c r="AL139" s="57"/>
      <c r="AM139" s="45"/>
      <c r="AN139" s="74"/>
      <c r="AO139" s="45"/>
      <c r="AP139" s="56"/>
      <c r="AQ139" s="57"/>
      <c r="AR139" s="57"/>
      <c r="AS139" s="57"/>
      <c r="AT139" s="57"/>
      <c r="AU139" s="57"/>
      <c r="AV139" s="57"/>
      <c r="AW139" s="45"/>
    </row>
    <row r="140" spans="1:49">
      <c r="A140" s="12" t="str">
        <f>Roster!A140</f>
        <v/>
      </c>
      <c r="B140" s="28">
        <f>Roster!C140</f>
        <v>0</v>
      </c>
      <c r="C140" s="55"/>
      <c r="D140" s="56"/>
      <c r="E140" s="57"/>
      <c r="F140" s="57"/>
      <c r="G140" s="57"/>
      <c r="H140" s="57"/>
      <c r="I140" s="57"/>
      <c r="J140" s="57"/>
      <c r="K140" s="45"/>
      <c r="L140" s="58"/>
      <c r="M140" s="56"/>
      <c r="N140" s="57"/>
      <c r="O140" s="57"/>
      <c r="P140" s="57"/>
      <c r="Q140" s="57"/>
      <c r="R140" s="57"/>
      <c r="S140" s="57"/>
      <c r="T140" s="45"/>
      <c r="U140" s="74"/>
      <c r="V140" s="45"/>
      <c r="W140" s="56"/>
      <c r="X140" s="57"/>
      <c r="Y140" s="57"/>
      <c r="Z140" s="57"/>
      <c r="AA140" s="57"/>
      <c r="AB140" s="57"/>
      <c r="AC140" s="57"/>
      <c r="AD140" s="45"/>
      <c r="AE140" s="65"/>
      <c r="AF140" s="56"/>
      <c r="AG140" s="57"/>
      <c r="AH140" s="57"/>
      <c r="AI140" s="57"/>
      <c r="AJ140" s="57"/>
      <c r="AK140" s="57"/>
      <c r="AL140" s="57"/>
      <c r="AM140" s="45"/>
      <c r="AN140" s="74"/>
      <c r="AO140" s="45"/>
      <c r="AP140" s="56"/>
      <c r="AQ140" s="57"/>
      <c r="AR140" s="57"/>
      <c r="AS140" s="57"/>
      <c r="AT140" s="57"/>
      <c r="AU140" s="57"/>
      <c r="AV140" s="57"/>
      <c r="AW140" s="45"/>
    </row>
    <row r="141" spans="1:49">
      <c r="A141" s="12" t="str">
        <f>Roster!A141</f>
        <v/>
      </c>
      <c r="B141" s="28">
        <f>Roster!C141</f>
        <v>0</v>
      </c>
      <c r="C141" s="55"/>
      <c r="D141" s="56"/>
      <c r="E141" s="57"/>
      <c r="F141" s="57"/>
      <c r="G141" s="57"/>
      <c r="H141" s="57"/>
      <c r="I141" s="57"/>
      <c r="J141" s="57"/>
      <c r="K141" s="45"/>
      <c r="L141" s="58"/>
      <c r="M141" s="56"/>
      <c r="N141" s="57"/>
      <c r="O141" s="57"/>
      <c r="P141" s="57"/>
      <c r="Q141" s="57"/>
      <c r="R141" s="57"/>
      <c r="S141" s="57"/>
      <c r="T141" s="45"/>
      <c r="U141" s="74"/>
      <c r="V141" s="45"/>
      <c r="W141" s="56"/>
      <c r="X141" s="57"/>
      <c r="Y141" s="57"/>
      <c r="Z141" s="57"/>
      <c r="AA141" s="57"/>
      <c r="AB141" s="57"/>
      <c r="AC141" s="57"/>
      <c r="AD141" s="45"/>
      <c r="AE141" s="65"/>
      <c r="AF141" s="56"/>
      <c r="AG141" s="57"/>
      <c r="AH141" s="57"/>
      <c r="AI141" s="57"/>
      <c r="AJ141" s="57"/>
      <c r="AK141" s="57"/>
      <c r="AL141" s="57"/>
      <c r="AM141" s="45"/>
      <c r="AN141" s="74"/>
      <c r="AO141" s="45"/>
      <c r="AP141" s="56"/>
      <c r="AQ141" s="57"/>
      <c r="AR141" s="57"/>
      <c r="AS141" s="57"/>
      <c r="AT141" s="57"/>
      <c r="AU141" s="57"/>
      <c r="AV141" s="57"/>
      <c r="AW141" s="45"/>
    </row>
    <row r="142" spans="1:49">
      <c r="A142" s="12" t="str">
        <f>Roster!A142</f>
        <v/>
      </c>
      <c r="B142" s="28">
        <f>Roster!C142</f>
        <v>0</v>
      </c>
      <c r="C142" s="55"/>
      <c r="D142" s="56"/>
      <c r="E142" s="57"/>
      <c r="F142" s="57"/>
      <c r="G142" s="57"/>
      <c r="H142" s="57"/>
      <c r="I142" s="57"/>
      <c r="J142" s="57"/>
      <c r="K142" s="45"/>
      <c r="L142" s="58"/>
      <c r="M142" s="56"/>
      <c r="N142" s="57"/>
      <c r="O142" s="57"/>
      <c r="P142" s="57"/>
      <c r="Q142" s="57"/>
      <c r="R142" s="57"/>
      <c r="S142" s="57"/>
      <c r="T142" s="45"/>
      <c r="U142" s="74"/>
      <c r="V142" s="45"/>
      <c r="W142" s="56"/>
      <c r="X142" s="57"/>
      <c r="Y142" s="57"/>
      <c r="Z142" s="57"/>
      <c r="AA142" s="57"/>
      <c r="AB142" s="57"/>
      <c r="AC142" s="57"/>
      <c r="AD142" s="45"/>
      <c r="AE142" s="65"/>
      <c r="AF142" s="56"/>
      <c r="AG142" s="57"/>
      <c r="AH142" s="57"/>
      <c r="AI142" s="57"/>
      <c r="AJ142" s="57"/>
      <c r="AK142" s="57"/>
      <c r="AL142" s="57"/>
      <c r="AM142" s="45"/>
      <c r="AN142" s="74"/>
      <c r="AO142" s="45"/>
      <c r="AP142" s="56"/>
      <c r="AQ142" s="57"/>
      <c r="AR142" s="57"/>
      <c r="AS142" s="57"/>
      <c r="AT142" s="57"/>
      <c r="AU142" s="57"/>
      <c r="AV142" s="57"/>
      <c r="AW142" s="45"/>
    </row>
    <row r="143" spans="1:49">
      <c r="A143" s="12" t="str">
        <f>Roster!A143</f>
        <v/>
      </c>
      <c r="B143" s="28">
        <f>Roster!C143</f>
        <v>0</v>
      </c>
      <c r="C143" s="55"/>
      <c r="D143" s="56"/>
      <c r="E143" s="57"/>
      <c r="F143" s="57"/>
      <c r="G143" s="57"/>
      <c r="H143" s="57"/>
      <c r="I143" s="57"/>
      <c r="J143" s="57"/>
      <c r="K143" s="45"/>
      <c r="L143" s="58"/>
      <c r="M143" s="56"/>
      <c r="N143" s="57"/>
      <c r="O143" s="57"/>
      <c r="P143" s="57"/>
      <c r="Q143" s="57"/>
      <c r="R143" s="57"/>
      <c r="S143" s="57"/>
      <c r="T143" s="45"/>
      <c r="U143" s="74"/>
      <c r="V143" s="45"/>
      <c r="W143" s="56"/>
      <c r="X143" s="57"/>
      <c r="Y143" s="57"/>
      <c r="Z143" s="57"/>
      <c r="AA143" s="57"/>
      <c r="AB143" s="57"/>
      <c r="AC143" s="57"/>
      <c r="AD143" s="45"/>
      <c r="AE143" s="65"/>
      <c r="AF143" s="56"/>
      <c r="AG143" s="57"/>
      <c r="AH143" s="57"/>
      <c r="AI143" s="57"/>
      <c r="AJ143" s="57"/>
      <c r="AK143" s="57"/>
      <c r="AL143" s="57"/>
      <c r="AM143" s="45"/>
      <c r="AN143" s="74"/>
      <c r="AO143" s="45"/>
      <c r="AP143" s="56"/>
      <c r="AQ143" s="57"/>
      <c r="AR143" s="57"/>
      <c r="AS143" s="57"/>
      <c r="AT143" s="57"/>
      <c r="AU143" s="57"/>
      <c r="AV143" s="57"/>
      <c r="AW143" s="45"/>
    </row>
    <row r="144" spans="1:49">
      <c r="A144" s="12" t="str">
        <f>Roster!A144</f>
        <v/>
      </c>
      <c r="B144" s="28">
        <f>Roster!C144</f>
        <v>0</v>
      </c>
      <c r="C144" s="55"/>
      <c r="D144" s="56"/>
      <c r="E144" s="57"/>
      <c r="F144" s="57"/>
      <c r="G144" s="57"/>
      <c r="H144" s="57"/>
      <c r="I144" s="57"/>
      <c r="J144" s="57"/>
      <c r="K144" s="45"/>
      <c r="L144" s="58"/>
      <c r="M144" s="56"/>
      <c r="N144" s="57"/>
      <c r="O144" s="57"/>
      <c r="P144" s="57"/>
      <c r="Q144" s="57"/>
      <c r="R144" s="57"/>
      <c r="S144" s="57"/>
      <c r="T144" s="45"/>
      <c r="U144" s="74"/>
      <c r="V144" s="45"/>
      <c r="W144" s="56"/>
      <c r="X144" s="57"/>
      <c r="Y144" s="57"/>
      <c r="Z144" s="57"/>
      <c r="AA144" s="57"/>
      <c r="AB144" s="57"/>
      <c r="AC144" s="57"/>
      <c r="AD144" s="45"/>
      <c r="AE144" s="65"/>
      <c r="AF144" s="56"/>
      <c r="AG144" s="57"/>
      <c r="AH144" s="57"/>
      <c r="AI144" s="57"/>
      <c r="AJ144" s="57"/>
      <c r="AK144" s="57"/>
      <c r="AL144" s="57"/>
      <c r="AM144" s="45"/>
      <c r="AN144" s="74"/>
      <c r="AO144" s="45"/>
      <c r="AP144" s="56"/>
      <c r="AQ144" s="57"/>
      <c r="AR144" s="57"/>
      <c r="AS144" s="57"/>
      <c r="AT144" s="57"/>
      <c r="AU144" s="57"/>
      <c r="AV144" s="57"/>
      <c r="AW144" s="45"/>
    </row>
    <row r="145" spans="1:49">
      <c r="A145" s="12" t="str">
        <f>Roster!A145</f>
        <v/>
      </c>
      <c r="B145" s="28">
        <f>Roster!C145</f>
        <v>0</v>
      </c>
      <c r="C145" s="55"/>
      <c r="D145" s="56"/>
      <c r="E145" s="57"/>
      <c r="F145" s="57"/>
      <c r="G145" s="57"/>
      <c r="H145" s="57"/>
      <c r="I145" s="57"/>
      <c r="J145" s="57"/>
      <c r="K145" s="45"/>
      <c r="L145" s="58"/>
      <c r="M145" s="56"/>
      <c r="N145" s="57"/>
      <c r="O145" s="57"/>
      <c r="P145" s="57"/>
      <c r="Q145" s="57"/>
      <c r="R145" s="57"/>
      <c r="S145" s="57"/>
      <c r="T145" s="45"/>
      <c r="U145" s="74"/>
      <c r="V145" s="45"/>
      <c r="W145" s="56"/>
      <c r="X145" s="57"/>
      <c r="Y145" s="57"/>
      <c r="Z145" s="57"/>
      <c r="AA145" s="57"/>
      <c r="AB145" s="57"/>
      <c r="AC145" s="57"/>
      <c r="AD145" s="45"/>
      <c r="AE145" s="65"/>
      <c r="AF145" s="56"/>
      <c r="AG145" s="57"/>
      <c r="AH145" s="57"/>
      <c r="AI145" s="57"/>
      <c r="AJ145" s="57"/>
      <c r="AK145" s="57"/>
      <c r="AL145" s="57"/>
      <c r="AM145" s="45"/>
      <c r="AN145" s="74"/>
      <c r="AO145" s="45"/>
      <c r="AP145" s="56"/>
      <c r="AQ145" s="57"/>
      <c r="AR145" s="57"/>
      <c r="AS145" s="57"/>
      <c r="AT145" s="57"/>
      <c r="AU145" s="57"/>
      <c r="AV145" s="57"/>
      <c r="AW145" s="45"/>
    </row>
    <row r="146" spans="1:49">
      <c r="A146" s="12" t="str">
        <f>Roster!A146</f>
        <v/>
      </c>
      <c r="B146" s="28">
        <f>Roster!C146</f>
        <v>0</v>
      </c>
      <c r="C146" s="55"/>
      <c r="D146" s="56"/>
      <c r="E146" s="57"/>
      <c r="F146" s="57"/>
      <c r="G146" s="57"/>
      <c r="H146" s="57"/>
      <c r="I146" s="57"/>
      <c r="J146" s="57"/>
      <c r="K146" s="45"/>
      <c r="L146" s="58"/>
      <c r="M146" s="56"/>
      <c r="N146" s="57"/>
      <c r="O146" s="57"/>
      <c r="P146" s="57"/>
      <c r="Q146" s="57"/>
      <c r="R146" s="57"/>
      <c r="S146" s="57"/>
      <c r="T146" s="45"/>
      <c r="U146" s="74"/>
      <c r="V146" s="45"/>
      <c r="W146" s="56"/>
      <c r="X146" s="57"/>
      <c r="Y146" s="57"/>
      <c r="Z146" s="57"/>
      <c r="AA146" s="57"/>
      <c r="AB146" s="57"/>
      <c r="AC146" s="57"/>
      <c r="AD146" s="45"/>
      <c r="AE146" s="65"/>
      <c r="AF146" s="56"/>
      <c r="AG146" s="57"/>
      <c r="AH146" s="57"/>
      <c r="AI146" s="57"/>
      <c r="AJ146" s="57"/>
      <c r="AK146" s="57"/>
      <c r="AL146" s="57"/>
      <c r="AM146" s="45"/>
      <c r="AN146" s="74"/>
      <c r="AO146" s="45"/>
      <c r="AP146" s="56"/>
      <c r="AQ146" s="57"/>
      <c r="AR146" s="57"/>
      <c r="AS146" s="57"/>
      <c r="AT146" s="57"/>
      <c r="AU146" s="57"/>
      <c r="AV146" s="57"/>
      <c r="AW146" s="45"/>
    </row>
    <row r="147" spans="1:49">
      <c r="A147" s="12" t="str">
        <f>Roster!A147</f>
        <v/>
      </c>
      <c r="B147" s="28">
        <f>Roster!C147</f>
        <v>0</v>
      </c>
      <c r="C147" s="55"/>
      <c r="D147" s="56"/>
      <c r="E147" s="57"/>
      <c r="F147" s="57"/>
      <c r="G147" s="57"/>
      <c r="H147" s="57"/>
      <c r="I147" s="57"/>
      <c r="J147" s="57"/>
      <c r="K147" s="45"/>
      <c r="L147" s="58"/>
      <c r="M147" s="56"/>
      <c r="N147" s="57"/>
      <c r="O147" s="57"/>
      <c r="P147" s="57"/>
      <c r="Q147" s="57"/>
      <c r="R147" s="57"/>
      <c r="S147" s="57"/>
      <c r="T147" s="45"/>
      <c r="U147" s="74"/>
      <c r="V147" s="45"/>
      <c r="W147" s="56"/>
      <c r="X147" s="57"/>
      <c r="Y147" s="57"/>
      <c r="Z147" s="57"/>
      <c r="AA147" s="57"/>
      <c r="AB147" s="57"/>
      <c r="AC147" s="57"/>
      <c r="AD147" s="45"/>
      <c r="AE147" s="65"/>
      <c r="AF147" s="56"/>
      <c r="AG147" s="57"/>
      <c r="AH147" s="57"/>
      <c r="AI147" s="57"/>
      <c r="AJ147" s="57"/>
      <c r="AK147" s="57"/>
      <c r="AL147" s="57"/>
      <c r="AM147" s="45"/>
      <c r="AN147" s="74"/>
      <c r="AO147" s="45"/>
      <c r="AP147" s="56"/>
      <c r="AQ147" s="57"/>
      <c r="AR147" s="57"/>
      <c r="AS147" s="57"/>
      <c r="AT147" s="57"/>
      <c r="AU147" s="57"/>
      <c r="AV147" s="57"/>
      <c r="AW147" s="45"/>
    </row>
    <row r="148" spans="1:49">
      <c r="A148" s="12" t="str">
        <f>Roster!A148</f>
        <v/>
      </c>
      <c r="B148" s="28">
        <f>Roster!C148</f>
        <v>0</v>
      </c>
      <c r="C148" s="55"/>
      <c r="D148" s="56"/>
      <c r="E148" s="57"/>
      <c r="F148" s="57"/>
      <c r="G148" s="57"/>
      <c r="H148" s="57"/>
      <c r="I148" s="57"/>
      <c r="J148" s="57"/>
      <c r="K148" s="45"/>
      <c r="L148" s="58"/>
      <c r="M148" s="56"/>
      <c r="N148" s="57"/>
      <c r="O148" s="57"/>
      <c r="P148" s="57"/>
      <c r="Q148" s="57"/>
      <c r="R148" s="57"/>
      <c r="S148" s="57"/>
      <c r="T148" s="45"/>
      <c r="U148" s="74"/>
      <c r="V148" s="45"/>
      <c r="W148" s="56"/>
      <c r="X148" s="57"/>
      <c r="Y148" s="57"/>
      <c r="Z148" s="57"/>
      <c r="AA148" s="57"/>
      <c r="AB148" s="57"/>
      <c r="AC148" s="57"/>
      <c r="AD148" s="45"/>
      <c r="AE148" s="65"/>
      <c r="AF148" s="56"/>
      <c r="AG148" s="57"/>
      <c r="AH148" s="57"/>
      <c r="AI148" s="57"/>
      <c r="AJ148" s="57"/>
      <c r="AK148" s="57"/>
      <c r="AL148" s="57"/>
      <c r="AM148" s="45"/>
      <c r="AN148" s="74"/>
      <c r="AO148" s="45"/>
      <c r="AP148" s="56"/>
      <c r="AQ148" s="57"/>
      <c r="AR148" s="57"/>
      <c r="AS148" s="57"/>
      <c r="AT148" s="57"/>
      <c r="AU148" s="57"/>
      <c r="AV148" s="57"/>
      <c r="AW148" s="45"/>
    </row>
    <row r="149" spans="1:49">
      <c r="A149" s="12" t="str">
        <f>Roster!A149</f>
        <v/>
      </c>
      <c r="B149" s="28">
        <f>Roster!C149</f>
        <v>0</v>
      </c>
      <c r="C149" s="55"/>
      <c r="D149" s="56"/>
      <c r="E149" s="57"/>
      <c r="F149" s="57"/>
      <c r="G149" s="57"/>
      <c r="H149" s="57"/>
      <c r="I149" s="57"/>
      <c r="J149" s="57"/>
      <c r="K149" s="45"/>
      <c r="L149" s="58"/>
      <c r="M149" s="56"/>
      <c r="N149" s="57"/>
      <c r="O149" s="57"/>
      <c r="P149" s="57"/>
      <c r="Q149" s="57"/>
      <c r="R149" s="57"/>
      <c r="S149" s="57"/>
      <c r="T149" s="45"/>
      <c r="U149" s="74"/>
      <c r="V149" s="45"/>
      <c r="W149" s="56"/>
      <c r="X149" s="57"/>
      <c r="Y149" s="57"/>
      <c r="Z149" s="57"/>
      <c r="AA149" s="57"/>
      <c r="AB149" s="57"/>
      <c r="AC149" s="57"/>
      <c r="AD149" s="45"/>
      <c r="AE149" s="65"/>
      <c r="AF149" s="56"/>
      <c r="AG149" s="57"/>
      <c r="AH149" s="57"/>
      <c r="AI149" s="57"/>
      <c r="AJ149" s="57"/>
      <c r="AK149" s="57"/>
      <c r="AL149" s="57"/>
      <c r="AM149" s="45"/>
      <c r="AN149" s="74"/>
      <c r="AO149" s="45"/>
      <c r="AP149" s="56"/>
      <c r="AQ149" s="57"/>
      <c r="AR149" s="57"/>
      <c r="AS149" s="57"/>
      <c r="AT149" s="57"/>
      <c r="AU149" s="57"/>
      <c r="AV149" s="57"/>
      <c r="AW149" s="45"/>
    </row>
    <row r="150" spans="1:49">
      <c r="A150" s="12" t="str">
        <f>Roster!A150</f>
        <v/>
      </c>
      <c r="B150" s="28">
        <f>Roster!C150</f>
        <v>0</v>
      </c>
      <c r="C150" s="55"/>
      <c r="D150" s="56"/>
      <c r="E150" s="57"/>
      <c r="F150" s="57"/>
      <c r="G150" s="57"/>
      <c r="H150" s="57"/>
      <c r="I150" s="57"/>
      <c r="J150" s="57"/>
      <c r="K150" s="45"/>
      <c r="L150" s="58"/>
      <c r="M150" s="56"/>
      <c r="N150" s="57"/>
      <c r="O150" s="57"/>
      <c r="P150" s="57"/>
      <c r="Q150" s="57"/>
      <c r="R150" s="57"/>
      <c r="S150" s="57"/>
      <c r="T150" s="45"/>
      <c r="U150" s="74"/>
      <c r="V150" s="45"/>
      <c r="W150" s="56"/>
      <c r="X150" s="57"/>
      <c r="Y150" s="57"/>
      <c r="Z150" s="57"/>
      <c r="AA150" s="57"/>
      <c r="AB150" s="57"/>
      <c r="AC150" s="57"/>
      <c r="AD150" s="45"/>
      <c r="AE150" s="65"/>
      <c r="AF150" s="56"/>
      <c r="AG150" s="57"/>
      <c r="AH150" s="57"/>
      <c r="AI150" s="57"/>
      <c r="AJ150" s="57"/>
      <c r="AK150" s="57"/>
      <c r="AL150" s="57"/>
      <c r="AM150" s="45"/>
      <c r="AN150" s="74"/>
      <c r="AO150" s="45"/>
      <c r="AP150" s="56"/>
      <c r="AQ150" s="57"/>
      <c r="AR150" s="57"/>
      <c r="AS150" s="57"/>
      <c r="AT150" s="57"/>
      <c r="AU150" s="57"/>
      <c r="AV150" s="57"/>
      <c r="AW150" s="45"/>
    </row>
    <row r="151" spans="1:49">
      <c r="A151" s="12" t="str">
        <f>Roster!A151</f>
        <v/>
      </c>
      <c r="B151" s="28">
        <f>Roster!C151</f>
        <v>0</v>
      </c>
      <c r="C151" s="55"/>
      <c r="D151" s="56"/>
      <c r="E151" s="57"/>
      <c r="F151" s="57"/>
      <c r="G151" s="57"/>
      <c r="H151" s="57"/>
      <c r="I151" s="57"/>
      <c r="J151" s="57"/>
      <c r="K151" s="45"/>
      <c r="L151" s="58"/>
      <c r="M151" s="56"/>
      <c r="N151" s="57"/>
      <c r="O151" s="57"/>
      <c r="P151" s="57"/>
      <c r="Q151" s="57"/>
      <c r="R151" s="57"/>
      <c r="S151" s="57"/>
      <c r="T151" s="45"/>
      <c r="U151" s="74"/>
      <c r="V151" s="45"/>
      <c r="W151" s="56"/>
      <c r="X151" s="57"/>
      <c r="Y151" s="57"/>
      <c r="Z151" s="57"/>
      <c r="AA151" s="57"/>
      <c r="AB151" s="57"/>
      <c r="AC151" s="57"/>
      <c r="AD151" s="45"/>
      <c r="AE151" s="65"/>
      <c r="AF151" s="56"/>
      <c r="AG151" s="57"/>
      <c r="AH151" s="57"/>
      <c r="AI151" s="57"/>
      <c r="AJ151" s="57"/>
      <c r="AK151" s="57"/>
      <c r="AL151" s="57"/>
      <c r="AM151" s="45"/>
      <c r="AN151" s="74"/>
      <c r="AO151" s="45"/>
      <c r="AP151" s="56"/>
      <c r="AQ151" s="57"/>
      <c r="AR151" s="57"/>
      <c r="AS151" s="57"/>
      <c r="AT151" s="57"/>
      <c r="AU151" s="57"/>
      <c r="AV151" s="57"/>
      <c r="AW151" s="45"/>
    </row>
    <row r="152" spans="1:49">
      <c r="A152" s="11" t="str">
        <f>Roster!A152</f>
        <v/>
      </c>
      <c r="B152" s="38">
        <f>Roster!C152</f>
        <v>0</v>
      </c>
      <c r="C152" s="67"/>
      <c r="D152" s="68"/>
      <c r="E152" s="40"/>
      <c r="F152" s="40"/>
      <c r="G152" s="40"/>
      <c r="H152" s="40"/>
      <c r="I152" s="40"/>
      <c r="J152" s="40"/>
      <c r="K152" s="47"/>
      <c r="L152" s="69"/>
      <c r="M152" s="68"/>
      <c r="N152" s="40"/>
      <c r="O152" s="40"/>
      <c r="P152" s="40"/>
      <c r="Q152" s="40"/>
      <c r="R152" s="40"/>
      <c r="S152" s="40"/>
      <c r="T152" s="47"/>
      <c r="U152" s="75"/>
      <c r="V152" s="47"/>
      <c r="W152" s="68"/>
      <c r="X152" s="40"/>
      <c r="Y152" s="40"/>
      <c r="Z152" s="40"/>
      <c r="AA152" s="40"/>
      <c r="AB152" s="40"/>
      <c r="AC152" s="40"/>
      <c r="AD152" s="47"/>
      <c r="AE152" s="70"/>
      <c r="AF152" s="68"/>
      <c r="AG152" s="40"/>
      <c r="AH152" s="40"/>
      <c r="AI152" s="40"/>
      <c r="AJ152" s="40"/>
      <c r="AK152" s="40"/>
      <c r="AL152" s="40"/>
      <c r="AM152" s="47"/>
      <c r="AN152" s="75"/>
      <c r="AO152" s="47"/>
      <c r="AP152" s="68"/>
      <c r="AQ152" s="40"/>
      <c r="AR152" s="40"/>
      <c r="AS152" s="40"/>
      <c r="AT152" s="40"/>
      <c r="AU152" s="40"/>
      <c r="AV152" s="40"/>
      <c r="AW152" s="47"/>
    </row>
    <row r="153" spans="1:49">
      <c r="A153" s="12" t="str">
        <f>Roster!A153</f>
        <v/>
      </c>
      <c r="B153" s="28">
        <f>Roster!C153</f>
        <v>0</v>
      </c>
      <c r="C153" s="55"/>
      <c r="D153" s="56"/>
      <c r="E153" s="57"/>
      <c r="F153" s="57"/>
      <c r="G153" s="57"/>
      <c r="H153" s="57"/>
      <c r="I153" s="57"/>
      <c r="J153" s="57"/>
      <c r="K153" s="45"/>
      <c r="L153" s="58"/>
      <c r="M153" s="56"/>
      <c r="N153" s="57"/>
      <c r="O153" s="57"/>
      <c r="P153" s="57"/>
      <c r="Q153" s="57"/>
      <c r="R153" s="57"/>
      <c r="S153" s="57"/>
      <c r="T153" s="45"/>
      <c r="U153" s="74"/>
      <c r="V153" s="45"/>
      <c r="W153" s="56"/>
      <c r="X153" s="57"/>
      <c r="Y153" s="57"/>
      <c r="Z153" s="57"/>
      <c r="AA153" s="57"/>
      <c r="AB153" s="57"/>
      <c r="AC153" s="57"/>
      <c r="AD153" s="45"/>
      <c r="AE153" s="65"/>
      <c r="AF153" s="56"/>
      <c r="AG153" s="57"/>
      <c r="AH153" s="57"/>
      <c r="AI153" s="57"/>
      <c r="AJ153" s="57"/>
      <c r="AK153" s="57"/>
      <c r="AL153" s="57"/>
      <c r="AM153" s="45"/>
      <c r="AN153" s="74"/>
      <c r="AO153" s="45"/>
      <c r="AP153" s="56"/>
      <c r="AQ153" s="57"/>
      <c r="AR153" s="57"/>
      <c r="AS153" s="57"/>
      <c r="AT153" s="57"/>
      <c r="AU153" s="57"/>
      <c r="AV153" s="57"/>
      <c r="AW153" s="45"/>
    </row>
    <row r="154" spans="1:49">
      <c r="A154" s="12" t="str">
        <f>Roster!A154</f>
        <v/>
      </c>
      <c r="B154" s="28">
        <f>Roster!C154</f>
        <v>0</v>
      </c>
      <c r="C154" s="55"/>
      <c r="D154" s="56"/>
      <c r="E154" s="57"/>
      <c r="F154" s="57"/>
      <c r="G154" s="57"/>
      <c r="H154" s="57"/>
      <c r="I154" s="57"/>
      <c r="J154" s="57"/>
      <c r="K154" s="45"/>
      <c r="L154" s="58"/>
      <c r="M154" s="56"/>
      <c r="N154" s="57"/>
      <c r="O154" s="57"/>
      <c r="P154" s="57"/>
      <c r="Q154" s="57"/>
      <c r="R154" s="57"/>
      <c r="S154" s="57"/>
      <c r="T154" s="45"/>
      <c r="U154" s="74"/>
      <c r="V154" s="45"/>
      <c r="W154" s="56"/>
      <c r="X154" s="57"/>
      <c r="Y154" s="57"/>
      <c r="Z154" s="57"/>
      <c r="AA154" s="57"/>
      <c r="AB154" s="57"/>
      <c r="AC154" s="57"/>
      <c r="AD154" s="45"/>
      <c r="AE154" s="65"/>
      <c r="AF154" s="56"/>
      <c r="AG154" s="57"/>
      <c r="AH154" s="57"/>
      <c r="AI154" s="57"/>
      <c r="AJ154" s="57"/>
      <c r="AK154" s="57"/>
      <c r="AL154" s="57"/>
      <c r="AM154" s="45"/>
      <c r="AN154" s="74"/>
      <c r="AO154" s="45"/>
      <c r="AP154" s="56"/>
      <c r="AQ154" s="57"/>
      <c r="AR154" s="57"/>
      <c r="AS154" s="57"/>
      <c r="AT154" s="57"/>
      <c r="AU154" s="57"/>
      <c r="AV154" s="57"/>
      <c r="AW154" s="45"/>
    </row>
    <row r="155" spans="1:49">
      <c r="A155" s="12" t="str">
        <f>Roster!A155</f>
        <v/>
      </c>
      <c r="B155" s="28">
        <f>Roster!C155</f>
        <v>0</v>
      </c>
      <c r="C155" s="55"/>
      <c r="D155" s="56"/>
      <c r="E155" s="57"/>
      <c r="F155" s="57"/>
      <c r="G155" s="57"/>
      <c r="H155" s="57"/>
      <c r="I155" s="57"/>
      <c r="J155" s="57"/>
      <c r="K155" s="45"/>
      <c r="L155" s="58"/>
      <c r="M155" s="56"/>
      <c r="N155" s="57"/>
      <c r="O155" s="57"/>
      <c r="P155" s="57"/>
      <c r="Q155" s="57"/>
      <c r="R155" s="57"/>
      <c r="S155" s="57"/>
      <c r="T155" s="45"/>
      <c r="U155" s="74"/>
      <c r="V155" s="45"/>
      <c r="W155" s="56"/>
      <c r="X155" s="57"/>
      <c r="Y155" s="57"/>
      <c r="Z155" s="57"/>
      <c r="AA155" s="57"/>
      <c r="AB155" s="57"/>
      <c r="AC155" s="57"/>
      <c r="AD155" s="45"/>
      <c r="AE155" s="65"/>
      <c r="AF155" s="56"/>
      <c r="AG155" s="57"/>
      <c r="AH155" s="57"/>
      <c r="AI155" s="57"/>
      <c r="AJ155" s="57"/>
      <c r="AK155" s="57"/>
      <c r="AL155" s="57"/>
      <c r="AM155" s="45"/>
      <c r="AN155" s="74"/>
      <c r="AO155" s="45"/>
      <c r="AP155" s="56"/>
      <c r="AQ155" s="57"/>
      <c r="AR155" s="57"/>
      <c r="AS155" s="57"/>
      <c r="AT155" s="57"/>
      <c r="AU155" s="57"/>
      <c r="AV155" s="57"/>
      <c r="AW155" s="45"/>
    </row>
    <row r="156" spans="1:49">
      <c r="A156" s="12" t="str">
        <f>Roster!A156</f>
        <v/>
      </c>
      <c r="B156" s="28">
        <f>Roster!C156</f>
        <v>0</v>
      </c>
      <c r="C156" s="55"/>
      <c r="D156" s="56"/>
      <c r="E156" s="57"/>
      <c r="F156" s="57"/>
      <c r="G156" s="57"/>
      <c r="H156" s="57"/>
      <c r="I156" s="57"/>
      <c r="J156" s="57"/>
      <c r="K156" s="45"/>
      <c r="L156" s="58"/>
      <c r="M156" s="56"/>
      <c r="N156" s="57"/>
      <c r="O156" s="57"/>
      <c r="P156" s="57"/>
      <c r="Q156" s="57"/>
      <c r="R156" s="57"/>
      <c r="S156" s="57"/>
      <c r="T156" s="45"/>
      <c r="U156" s="74"/>
      <c r="V156" s="45"/>
      <c r="W156" s="56"/>
      <c r="X156" s="57"/>
      <c r="Y156" s="57"/>
      <c r="Z156" s="57"/>
      <c r="AA156" s="57"/>
      <c r="AB156" s="57"/>
      <c r="AC156" s="57"/>
      <c r="AD156" s="45"/>
      <c r="AE156" s="65"/>
      <c r="AF156" s="56"/>
      <c r="AG156" s="57"/>
      <c r="AH156" s="57"/>
      <c r="AI156" s="57"/>
      <c r="AJ156" s="57"/>
      <c r="AK156" s="57"/>
      <c r="AL156" s="57"/>
      <c r="AM156" s="45"/>
      <c r="AN156" s="74"/>
      <c r="AO156" s="45"/>
      <c r="AP156" s="56"/>
      <c r="AQ156" s="57"/>
      <c r="AR156" s="57"/>
      <c r="AS156" s="57"/>
      <c r="AT156" s="57"/>
      <c r="AU156" s="57"/>
      <c r="AV156" s="57"/>
      <c r="AW156" s="45"/>
    </row>
    <row r="157" spans="1:49">
      <c r="A157" s="12" t="str">
        <f>Roster!A157</f>
        <v/>
      </c>
      <c r="B157" s="28">
        <f>Roster!C157</f>
        <v>0</v>
      </c>
      <c r="C157" s="55"/>
      <c r="D157" s="56"/>
      <c r="E157" s="57"/>
      <c r="F157" s="57"/>
      <c r="G157" s="57"/>
      <c r="H157" s="57"/>
      <c r="I157" s="57"/>
      <c r="J157" s="57"/>
      <c r="K157" s="45"/>
      <c r="L157" s="58"/>
      <c r="M157" s="56"/>
      <c r="N157" s="57"/>
      <c r="O157" s="57"/>
      <c r="P157" s="57"/>
      <c r="Q157" s="57"/>
      <c r="R157" s="57"/>
      <c r="S157" s="57"/>
      <c r="T157" s="45"/>
      <c r="U157" s="74"/>
      <c r="V157" s="45"/>
      <c r="W157" s="56"/>
      <c r="X157" s="57"/>
      <c r="Y157" s="57"/>
      <c r="Z157" s="57"/>
      <c r="AA157" s="57"/>
      <c r="AB157" s="57"/>
      <c r="AC157" s="57"/>
      <c r="AD157" s="45"/>
      <c r="AE157" s="65"/>
      <c r="AF157" s="56"/>
      <c r="AG157" s="57"/>
      <c r="AH157" s="57"/>
      <c r="AI157" s="57"/>
      <c r="AJ157" s="57"/>
      <c r="AK157" s="57"/>
      <c r="AL157" s="57"/>
      <c r="AM157" s="45"/>
      <c r="AN157" s="74"/>
      <c r="AO157" s="45"/>
      <c r="AP157" s="56"/>
      <c r="AQ157" s="57"/>
      <c r="AR157" s="57"/>
      <c r="AS157" s="57"/>
      <c r="AT157" s="57"/>
      <c r="AU157" s="57"/>
      <c r="AV157" s="57"/>
      <c r="AW157" s="45"/>
    </row>
    <row r="158" spans="1:49">
      <c r="A158" s="12" t="str">
        <f>Roster!A158</f>
        <v/>
      </c>
      <c r="B158" s="28">
        <f>Roster!C158</f>
        <v>0</v>
      </c>
      <c r="C158" s="55"/>
      <c r="D158" s="56"/>
      <c r="E158" s="57"/>
      <c r="F158" s="57"/>
      <c r="G158" s="57"/>
      <c r="H158" s="57"/>
      <c r="I158" s="57"/>
      <c r="J158" s="57"/>
      <c r="K158" s="45"/>
      <c r="L158" s="58"/>
      <c r="M158" s="56"/>
      <c r="N158" s="57"/>
      <c r="O158" s="57"/>
      <c r="P158" s="57"/>
      <c r="Q158" s="57"/>
      <c r="R158" s="57"/>
      <c r="S158" s="57"/>
      <c r="T158" s="45"/>
      <c r="U158" s="74"/>
      <c r="V158" s="45"/>
      <c r="W158" s="56"/>
      <c r="X158" s="57"/>
      <c r="Y158" s="57"/>
      <c r="Z158" s="57"/>
      <c r="AA158" s="57"/>
      <c r="AB158" s="57"/>
      <c r="AC158" s="57"/>
      <c r="AD158" s="45"/>
      <c r="AE158" s="65"/>
      <c r="AF158" s="56"/>
      <c r="AG158" s="57"/>
      <c r="AH158" s="57"/>
      <c r="AI158" s="57"/>
      <c r="AJ158" s="57"/>
      <c r="AK158" s="57"/>
      <c r="AL158" s="57"/>
      <c r="AM158" s="45"/>
      <c r="AN158" s="74"/>
      <c r="AO158" s="45"/>
      <c r="AP158" s="56"/>
      <c r="AQ158" s="57"/>
      <c r="AR158" s="57"/>
      <c r="AS158" s="57"/>
      <c r="AT158" s="57"/>
      <c r="AU158" s="57"/>
      <c r="AV158" s="57"/>
      <c r="AW158" s="45"/>
    </row>
    <row r="159" spans="1:49">
      <c r="A159" s="12" t="str">
        <f>Roster!A159</f>
        <v/>
      </c>
      <c r="B159" s="28">
        <f>Roster!C159</f>
        <v>0</v>
      </c>
      <c r="C159" s="55"/>
      <c r="D159" s="56"/>
      <c r="E159" s="57"/>
      <c r="F159" s="57"/>
      <c r="G159" s="57"/>
      <c r="H159" s="57"/>
      <c r="I159" s="57"/>
      <c r="J159" s="57"/>
      <c r="K159" s="45"/>
      <c r="L159" s="58"/>
      <c r="M159" s="56"/>
      <c r="N159" s="57"/>
      <c r="O159" s="57"/>
      <c r="P159" s="57"/>
      <c r="Q159" s="57"/>
      <c r="R159" s="57"/>
      <c r="S159" s="57"/>
      <c r="T159" s="45"/>
      <c r="U159" s="74"/>
      <c r="V159" s="45"/>
      <c r="W159" s="56"/>
      <c r="X159" s="57"/>
      <c r="Y159" s="57"/>
      <c r="Z159" s="57"/>
      <c r="AA159" s="57"/>
      <c r="AB159" s="57"/>
      <c r="AC159" s="57"/>
      <c r="AD159" s="45"/>
      <c r="AE159" s="65"/>
      <c r="AF159" s="56"/>
      <c r="AG159" s="57"/>
      <c r="AH159" s="57"/>
      <c r="AI159" s="57"/>
      <c r="AJ159" s="57"/>
      <c r="AK159" s="57"/>
      <c r="AL159" s="57"/>
      <c r="AM159" s="45"/>
      <c r="AN159" s="74"/>
      <c r="AO159" s="45"/>
      <c r="AP159" s="56"/>
      <c r="AQ159" s="57"/>
      <c r="AR159" s="57"/>
      <c r="AS159" s="57"/>
      <c r="AT159" s="57"/>
      <c r="AU159" s="57"/>
      <c r="AV159" s="57"/>
      <c r="AW159" s="45"/>
    </row>
    <row r="160" spans="1:49">
      <c r="A160" s="12" t="str">
        <f>Roster!A160</f>
        <v/>
      </c>
      <c r="B160" s="28">
        <f>Roster!C160</f>
        <v>0</v>
      </c>
      <c r="C160" s="55"/>
      <c r="D160" s="56"/>
      <c r="E160" s="57"/>
      <c r="F160" s="57"/>
      <c r="G160" s="57"/>
      <c r="H160" s="57"/>
      <c r="I160" s="57"/>
      <c r="J160" s="57"/>
      <c r="K160" s="45"/>
      <c r="L160" s="58"/>
      <c r="M160" s="56"/>
      <c r="N160" s="57"/>
      <c r="O160" s="57"/>
      <c r="P160" s="57"/>
      <c r="Q160" s="57"/>
      <c r="R160" s="57"/>
      <c r="S160" s="57"/>
      <c r="T160" s="45"/>
      <c r="U160" s="74"/>
      <c r="V160" s="45"/>
      <c r="W160" s="56"/>
      <c r="X160" s="57"/>
      <c r="Y160" s="57"/>
      <c r="Z160" s="57"/>
      <c r="AA160" s="57"/>
      <c r="AB160" s="57"/>
      <c r="AC160" s="57"/>
      <c r="AD160" s="45"/>
      <c r="AE160" s="65"/>
      <c r="AF160" s="56"/>
      <c r="AG160" s="57"/>
      <c r="AH160" s="57"/>
      <c r="AI160" s="57"/>
      <c r="AJ160" s="57"/>
      <c r="AK160" s="57"/>
      <c r="AL160" s="57"/>
      <c r="AM160" s="45"/>
      <c r="AN160" s="74"/>
      <c r="AO160" s="45"/>
      <c r="AP160" s="56"/>
      <c r="AQ160" s="57"/>
      <c r="AR160" s="57"/>
      <c r="AS160" s="57"/>
      <c r="AT160" s="57"/>
      <c r="AU160" s="57"/>
      <c r="AV160" s="57"/>
      <c r="AW160" s="45"/>
    </row>
    <row r="161" spans="1:49">
      <c r="A161" s="12" t="str">
        <f>Roster!A161</f>
        <v/>
      </c>
      <c r="B161" s="28">
        <f>Roster!C161</f>
        <v>0</v>
      </c>
      <c r="C161" s="55"/>
      <c r="D161" s="56"/>
      <c r="E161" s="57"/>
      <c r="F161" s="57"/>
      <c r="G161" s="57"/>
      <c r="H161" s="57"/>
      <c r="I161" s="57"/>
      <c r="J161" s="57"/>
      <c r="K161" s="45"/>
      <c r="L161" s="58"/>
      <c r="M161" s="56"/>
      <c r="N161" s="57"/>
      <c r="O161" s="57"/>
      <c r="P161" s="57"/>
      <c r="Q161" s="57"/>
      <c r="R161" s="57"/>
      <c r="S161" s="57"/>
      <c r="T161" s="45"/>
      <c r="U161" s="74"/>
      <c r="V161" s="45"/>
      <c r="W161" s="56"/>
      <c r="X161" s="57"/>
      <c r="Y161" s="57"/>
      <c r="Z161" s="57"/>
      <c r="AA161" s="57"/>
      <c r="AB161" s="57"/>
      <c r="AC161" s="57"/>
      <c r="AD161" s="45"/>
      <c r="AE161" s="65"/>
      <c r="AF161" s="56"/>
      <c r="AG161" s="57"/>
      <c r="AH161" s="57"/>
      <c r="AI161" s="57"/>
      <c r="AJ161" s="57"/>
      <c r="AK161" s="57"/>
      <c r="AL161" s="57"/>
      <c r="AM161" s="45"/>
      <c r="AN161" s="74"/>
      <c r="AO161" s="45"/>
      <c r="AP161" s="56"/>
      <c r="AQ161" s="57"/>
      <c r="AR161" s="57"/>
      <c r="AS161" s="57"/>
      <c r="AT161" s="57"/>
      <c r="AU161" s="57"/>
      <c r="AV161" s="57"/>
      <c r="AW161" s="45"/>
    </row>
    <row r="162" spans="1:49">
      <c r="A162" s="12" t="str">
        <f>Roster!A162</f>
        <v/>
      </c>
      <c r="B162" s="28">
        <f>Roster!C162</f>
        <v>0</v>
      </c>
      <c r="C162" s="55"/>
      <c r="D162" s="56"/>
      <c r="E162" s="57"/>
      <c r="F162" s="57"/>
      <c r="G162" s="57"/>
      <c r="H162" s="57"/>
      <c r="I162" s="57"/>
      <c r="J162" s="57"/>
      <c r="K162" s="45"/>
      <c r="L162" s="58"/>
      <c r="M162" s="56"/>
      <c r="N162" s="57"/>
      <c r="O162" s="57"/>
      <c r="P162" s="57"/>
      <c r="Q162" s="57"/>
      <c r="R162" s="57"/>
      <c r="S162" s="57"/>
      <c r="T162" s="45"/>
      <c r="U162" s="74"/>
      <c r="V162" s="45"/>
      <c r="W162" s="56"/>
      <c r="X162" s="57"/>
      <c r="Y162" s="57"/>
      <c r="Z162" s="57"/>
      <c r="AA162" s="57"/>
      <c r="AB162" s="57"/>
      <c r="AC162" s="57"/>
      <c r="AD162" s="45"/>
      <c r="AE162" s="65"/>
      <c r="AF162" s="56"/>
      <c r="AG162" s="57"/>
      <c r="AH162" s="57"/>
      <c r="AI162" s="57"/>
      <c r="AJ162" s="57"/>
      <c r="AK162" s="57"/>
      <c r="AL162" s="57"/>
      <c r="AM162" s="45"/>
      <c r="AN162" s="74"/>
      <c r="AO162" s="45"/>
      <c r="AP162" s="56"/>
      <c r="AQ162" s="57"/>
      <c r="AR162" s="57"/>
      <c r="AS162" s="57"/>
      <c r="AT162" s="57"/>
      <c r="AU162" s="57"/>
      <c r="AV162" s="57"/>
      <c r="AW162" s="45"/>
    </row>
    <row r="163" spans="1:49">
      <c r="A163" s="12" t="str">
        <f>Roster!A163</f>
        <v/>
      </c>
      <c r="B163" s="28">
        <f>Roster!C163</f>
        <v>0</v>
      </c>
      <c r="C163" s="55"/>
      <c r="D163" s="56"/>
      <c r="E163" s="57"/>
      <c r="F163" s="57"/>
      <c r="G163" s="57"/>
      <c r="H163" s="57"/>
      <c r="I163" s="57"/>
      <c r="J163" s="57"/>
      <c r="K163" s="45"/>
      <c r="L163" s="58"/>
      <c r="M163" s="56"/>
      <c r="N163" s="57"/>
      <c r="O163" s="57"/>
      <c r="P163" s="57"/>
      <c r="Q163" s="57"/>
      <c r="R163" s="57"/>
      <c r="S163" s="57"/>
      <c r="T163" s="45"/>
      <c r="U163" s="74"/>
      <c r="V163" s="45"/>
      <c r="W163" s="56"/>
      <c r="X163" s="57"/>
      <c r="Y163" s="57"/>
      <c r="Z163" s="57"/>
      <c r="AA163" s="57"/>
      <c r="AB163" s="57"/>
      <c r="AC163" s="57"/>
      <c r="AD163" s="45"/>
      <c r="AE163" s="65"/>
      <c r="AF163" s="56"/>
      <c r="AG163" s="57"/>
      <c r="AH163" s="57"/>
      <c r="AI163" s="57"/>
      <c r="AJ163" s="57"/>
      <c r="AK163" s="57"/>
      <c r="AL163" s="57"/>
      <c r="AM163" s="45"/>
      <c r="AN163" s="74"/>
      <c r="AO163" s="45"/>
      <c r="AP163" s="56"/>
      <c r="AQ163" s="57"/>
      <c r="AR163" s="57"/>
      <c r="AS163" s="57"/>
      <c r="AT163" s="57"/>
      <c r="AU163" s="57"/>
      <c r="AV163" s="57"/>
      <c r="AW163" s="45"/>
    </row>
    <row r="164" spans="1:49">
      <c r="A164" s="12" t="str">
        <f>Roster!A164</f>
        <v/>
      </c>
      <c r="B164" s="28">
        <f>Roster!C164</f>
        <v>0</v>
      </c>
      <c r="C164" s="55"/>
      <c r="D164" s="56"/>
      <c r="E164" s="57"/>
      <c r="F164" s="57"/>
      <c r="G164" s="57"/>
      <c r="H164" s="57"/>
      <c r="I164" s="57"/>
      <c r="J164" s="57"/>
      <c r="K164" s="45"/>
      <c r="L164" s="58"/>
      <c r="M164" s="56"/>
      <c r="N164" s="57"/>
      <c r="O164" s="57"/>
      <c r="P164" s="57"/>
      <c r="Q164" s="57"/>
      <c r="R164" s="57"/>
      <c r="S164" s="57"/>
      <c r="T164" s="45"/>
      <c r="U164" s="74"/>
      <c r="V164" s="45"/>
      <c r="W164" s="56"/>
      <c r="X164" s="57"/>
      <c r="Y164" s="57"/>
      <c r="Z164" s="57"/>
      <c r="AA164" s="57"/>
      <c r="AB164" s="57"/>
      <c r="AC164" s="57"/>
      <c r="AD164" s="45"/>
      <c r="AE164" s="65"/>
      <c r="AF164" s="56"/>
      <c r="AG164" s="57"/>
      <c r="AH164" s="57"/>
      <c r="AI164" s="57"/>
      <c r="AJ164" s="57"/>
      <c r="AK164" s="57"/>
      <c r="AL164" s="57"/>
      <c r="AM164" s="45"/>
      <c r="AN164" s="74"/>
      <c r="AO164" s="45"/>
      <c r="AP164" s="56"/>
      <c r="AQ164" s="57"/>
      <c r="AR164" s="57"/>
      <c r="AS164" s="57"/>
      <c r="AT164" s="57"/>
      <c r="AU164" s="57"/>
      <c r="AV164" s="57"/>
      <c r="AW164" s="45"/>
    </row>
    <row r="165" spans="1:49">
      <c r="A165" s="12" t="str">
        <f>Roster!A165</f>
        <v/>
      </c>
      <c r="B165" s="28">
        <f>Roster!C165</f>
        <v>0</v>
      </c>
      <c r="C165" s="55"/>
      <c r="D165" s="56"/>
      <c r="E165" s="57"/>
      <c r="F165" s="57"/>
      <c r="G165" s="57"/>
      <c r="H165" s="57"/>
      <c r="I165" s="57"/>
      <c r="J165" s="57"/>
      <c r="K165" s="45"/>
      <c r="L165" s="58"/>
      <c r="M165" s="56"/>
      <c r="N165" s="57"/>
      <c r="O165" s="57"/>
      <c r="P165" s="57"/>
      <c r="Q165" s="57"/>
      <c r="R165" s="57"/>
      <c r="S165" s="57"/>
      <c r="T165" s="45"/>
      <c r="U165" s="74"/>
      <c r="V165" s="45"/>
      <c r="W165" s="56"/>
      <c r="X165" s="57"/>
      <c r="Y165" s="57"/>
      <c r="Z165" s="57"/>
      <c r="AA165" s="57"/>
      <c r="AB165" s="57"/>
      <c r="AC165" s="57"/>
      <c r="AD165" s="45"/>
      <c r="AE165" s="65"/>
      <c r="AF165" s="56"/>
      <c r="AG165" s="57"/>
      <c r="AH165" s="57"/>
      <c r="AI165" s="57"/>
      <c r="AJ165" s="57"/>
      <c r="AK165" s="57"/>
      <c r="AL165" s="57"/>
      <c r="AM165" s="45"/>
      <c r="AN165" s="74"/>
      <c r="AO165" s="45"/>
      <c r="AP165" s="56"/>
      <c r="AQ165" s="57"/>
      <c r="AR165" s="57"/>
      <c r="AS165" s="57"/>
      <c r="AT165" s="57"/>
      <c r="AU165" s="57"/>
      <c r="AV165" s="57"/>
      <c r="AW165" s="45"/>
    </row>
    <row r="166" spans="1:49">
      <c r="A166" s="12" t="str">
        <f>Roster!A166</f>
        <v/>
      </c>
      <c r="B166" s="28">
        <f>Roster!C166</f>
        <v>0</v>
      </c>
      <c r="C166" s="55"/>
      <c r="D166" s="56"/>
      <c r="E166" s="57"/>
      <c r="F166" s="57"/>
      <c r="G166" s="57"/>
      <c r="H166" s="57"/>
      <c r="I166" s="57"/>
      <c r="J166" s="57"/>
      <c r="K166" s="45"/>
      <c r="L166" s="58"/>
      <c r="M166" s="56"/>
      <c r="N166" s="57"/>
      <c r="O166" s="57"/>
      <c r="P166" s="57"/>
      <c r="Q166" s="57"/>
      <c r="R166" s="57"/>
      <c r="S166" s="57"/>
      <c r="T166" s="45"/>
      <c r="U166" s="74"/>
      <c r="V166" s="45"/>
      <c r="W166" s="56"/>
      <c r="X166" s="57"/>
      <c r="Y166" s="57"/>
      <c r="Z166" s="57"/>
      <c r="AA166" s="57"/>
      <c r="AB166" s="57"/>
      <c r="AC166" s="57"/>
      <c r="AD166" s="45"/>
      <c r="AE166" s="65"/>
      <c r="AF166" s="56"/>
      <c r="AG166" s="57"/>
      <c r="AH166" s="57"/>
      <c r="AI166" s="57"/>
      <c r="AJ166" s="57"/>
      <c r="AK166" s="57"/>
      <c r="AL166" s="57"/>
      <c r="AM166" s="45"/>
      <c r="AN166" s="74"/>
      <c r="AO166" s="45"/>
      <c r="AP166" s="56"/>
      <c r="AQ166" s="57"/>
      <c r="AR166" s="57"/>
      <c r="AS166" s="57"/>
      <c r="AT166" s="57"/>
      <c r="AU166" s="57"/>
      <c r="AV166" s="57"/>
      <c r="AW166" s="45"/>
    </row>
    <row r="167" spans="1:49">
      <c r="A167" s="12" t="str">
        <f>Roster!A167</f>
        <v/>
      </c>
      <c r="B167" s="28">
        <f>Roster!C167</f>
        <v>0</v>
      </c>
      <c r="C167" s="55"/>
      <c r="D167" s="56"/>
      <c r="E167" s="57"/>
      <c r="F167" s="57"/>
      <c r="G167" s="57"/>
      <c r="H167" s="57"/>
      <c r="I167" s="57"/>
      <c r="J167" s="57"/>
      <c r="K167" s="45"/>
      <c r="L167" s="58"/>
      <c r="M167" s="56"/>
      <c r="N167" s="57"/>
      <c r="O167" s="57"/>
      <c r="P167" s="57"/>
      <c r="Q167" s="57"/>
      <c r="R167" s="57"/>
      <c r="S167" s="57"/>
      <c r="T167" s="45"/>
      <c r="U167" s="74"/>
      <c r="V167" s="45"/>
      <c r="W167" s="56"/>
      <c r="X167" s="57"/>
      <c r="Y167" s="57"/>
      <c r="Z167" s="57"/>
      <c r="AA167" s="57"/>
      <c r="AB167" s="57"/>
      <c r="AC167" s="57"/>
      <c r="AD167" s="45"/>
      <c r="AE167" s="65"/>
      <c r="AF167" s="56"/>
      <c r="AG167" s="57"/>
      <c r="AH167" s="57"/>
      <c r="AI167" s="57"/>
      <c r="AJ167" s="57"/>
      <c r="AK167" s="57"/>
      <c r="AL167" s="57"/>
      <c r="AM167" s="45"/>
      <c r="AN167" s="74"/>
      <c r="AO167" s="45"/>
      <c r="AP167" s="56"/>
      <c r="AQ167" s="57"/>
      <c r="AR167" s="57"/>
      <c r="AS167" s="57"/>
      <c r="AT167" s="57"/>
      <c r="AU167" s="57"/>
      <c r="AV167" s="57"/>
      <c r="AW167" s="45"/>
    </row>
    <row r="168" spans="1:49">
      <c r="A168" s="12" t="str">
        <f>Roster!A168</f>
        <v/>
      </c>
      <c r="B168" s="28">
        <f>Roster!C168</f>
        <v>0</v>
      </c>
      <c r="C168" s="55"/>
      <c r="D168" s="56"/>
      <c r="E168" s="57"/>
      <c r="F168" s="57"/>
      <c r="G168" s="57"/>
      <c r="H168" s="57"/>
      <c r="I168" s="57"/>
      <c r="J168" s="57"/>
      <c r="K168" s="45"/>
      <c r="L168" s="58"/>
      <c r="M168" s="56"/>
      <c r="N168" s="57"/>
      <c r="O168" s="57"/>
      <c r="P168" s="57"/>
      <c r="Q168" s="57"/>
      <c r="R168" s="57"/>
      <c r="S168" s="57"/>
      <c r="T168" s="45"/>
      <c r="U168" s="74"/>
      <c r="V168" s="45"/>
      <c r="W168" s="56"/>
      <c r="X168" s="57"/>
      <c r="Y168" s="57"/>
      <c r="Z168" s="57"/>
      <c r="AA168" s="57"/>
      <c r="AB168" s="57"/>
      <c r="AC168" s="57"/>
      <c r="AD168" s="45"/>
      <c r="AE168" s="65"/>
      <c r="AF168" s="56"/>
      <c r="AG168" s="57"/>
      <c r="AH168" s="57"/>
      <c r="AI168" s="57"/>
      <c r="AJ168" s="57"/>
      <c r="AK168" s="57"/>
      <c r="AL168" s="57"/>
      <c r="AM168" s="45"/>
      <c r="AN168" s="74"/>
      <c r="AO168" s="45"/>
      <c r="AP168" s="56"/>
      <c r="AQ168" s="57"/>
      <c r="AR168" s="57"/>
      <c r="AS168" s="57"/>
      <c r="AT168" s="57"/>
      <c r="AU168" s="57"/>
      <c r="AV168" s="57"/>
      <c r="AW168" s="45"/>
    </row>
    <row r="169" spans="1:49">
      <c r="A169" s="12" t="str">
        <f>Roster!A169</f>
        <v/>
      </c>
      <c r="B169" s="28">
        <f>Roster!C169</f>
        <v>0</v>
      </c>
      <c r="C169" s="55"/>
      <c r="D169" s="56"/>
      <c r="E169" s="57"/>
      <c r="F169" s="57"/>
      <c r="G169" s="57"/>
      <c r="H169" s="57"/>
      <c r="I169" s="57"/>
      <c r="J169" s="57"/>
      <c r="K169" s="45"/>
      <c r="L169" s="58"/>
      <c r="M169" s="56"/>
      <c r="N169" s="57"/>
      <c r="O169" s="57"/>
      <c r="P169" s="57"/>
      <c r="Q169" s="57"/>
      <c r="R169" s="57"/>
      <c r="S169" s="57"/>
      <c r="T169" s="45"/>
      <c r="U169" s="74"/>
      <c r="V169" s="45"/>
      <c r="W169" s="56"/>
      <c r="X169" s="57"/>
      <c r="Y169" s="57"/>
      <c r="Z169" s="57"/>
      <c r="AA169" s="57"/>
      <c r="AB169" s="57"/>
      <c r="AC169" s="57"/>
      <c r="AD169" s="45"/>
      <c r="AE169" s="65"/>
      <c r="AF169" s="56"/>
      <c r="AG169" s="57"/>
      <c r="AH169" s="57"/>
      <c r="AI169" s="57"/>
      <c r="AJ169" s="57"/>
      <c r="AK169" s="57"/>
      <c r="AL169" s="57"/>
      <c r="AM169" s="45"/>
      <c r="AN169" s="74"/>
      <c r="AO169" s="45"/>
      <c r="AP169" s="56"/>
      <c r="AQ169" s="57"/>
      <c r="AR169" s="57"/>
      <c r="AS169" s="57"/>
      <c r="AT169" s="57"/>
      <c r="AU169" s="57"/>
      <c r="AV169" s="57"/>
      <c r="AW169" s="45"/>
    </row>
    <row r="170" spans="1:49">
      <c r="A170" s="12" t="str">
        <f>Roster!A170</f>
        <v/>
      </c>
      <c r="B170" s="28">
        <f>Roster!C170</f>
        <v>0</v>
      </c>
      <c r="C170" s="55"/>
      <c r="D170" s="56"/>
      <c r="E170" s="57"/>
      <c r="F170" s="57"/>
      <c r="G170" s="57"/>
      <c r="H170" s="57"/>
      <c r="I170" s="57"/>
      <c r="J170" s="57"/>
      <c r="K170" s="45"/>
      <c r="L170" s="58"/>
      <c r="M170" s="56"/>
      <c r="N170" s="57"/>
      <c r="O170" s="57"/>
      <c r="P170" s="57"/>
      <c r="Q170" s="57"/>
      <c r="R170" s="57"/>
      <c r="S170" s="57"/>
      <c r="T170" s="45"/>
      <c r="U170" s="74"/>
      <c r="V170" s="45"/>
      <c r="W170" s="56"/>
      <c r="X170" s="57"/>
      <c r="Y170" s="57"/>
      <c r="Z170" s="57"/>
      <c r="AA170" s="57"/>
      <c r="AB170" s="57"/>
      <c r="AC170" s="57"/>
      <c r="AD170" s="45"/>
      <c r="AE170" s="65"/>
      <c r="AF170" s="56"/>
      <c r="AG170" s="57"/>
      <c r="AH170" s="57"/>
      <c r="AI170" s="57"/>
      <c r="AJ170" s="57"/>
      <c r="AK170" s="57"/>
      <c r="AL170" s="57"/>
      <c r="AM170" s="45"/>
      <c r="AN170" s="74"/>
      <c r="AO170" s="45"/>
      <c r="AP170" s="56"/>
      <c r="AQ170" s="57"/>
      <c r="AR170" s="57"/>
      <c r="AS170" s="57"/>
      <c r="AT170" s="57"/>
      <c r="AU170" s="57"/>
      <c r="AV170" s="57"/>
      <c r="AW170" s="45"/>
    </row>
    <row r="171" spans="1:49">
      <c r="A171" s="12" t="str">
        <f>Roster!A171</f>
        <v/>
      </c>
      <c r="B171" s="28">
        <f>Roster!C171</f>
        <v>0</v>
      </c>
      <c r="C171" s="55"/>
      <c r="D171" s="56"/>
      <c r="E171" s="57"/>
      <c r="F171" s="57"/>
      <c r="G171" s="57"/>
      <c r="H171" s="57"/>
      <c r="I171" s="57"/>
      <c r="J171" s="57"/>
      <c r="K171" s="45"/>
      <c r="L171" s="58"/>
      <c r="M171" s="56"/>
      <c r="N171" s="57"/>
      <c r="O171" s="57"/>
      <c r="P171" s="57"/>
      <c r="Q171" s="57"/>
      <c r="R171" s="57"/>
      <c r="S171" s="57"/>
      <c r="T171" s="45"/>
      <c r="U171" s="74"/>
      <c r="V171" s="45"/>
      <c r="W171" s="56"/>
      <c r="X171" s="57"/>
      <c r="Y171" s="57"/>
      <c r="Z171" s="57"/>
      <c r="AA171" s="57"/>
      <c r="AB171" s="57"/>
      <c r="AC171" s="57"/>
      <c r="AD171" s="45"/>
      <c r="AE171" s="65"/>
      <c r="AF171" s="56"/>
      <c r="AG171" s="57"/>
      <c r="AH171" s="57"/>
      <c r="AI171" s="57"/>
      <c r="AJ171" s="57"/>
      <c r="AK171" s="57"/>
      <c r="AL171" s="57"/>
      <c r="AM171" s="45"/>
      <c r="AN171" s="74"/>
      <c r="AO171" s="45"/>
      <c r="AP171" s="56"/>
      <c r="AQ171" s="57"/>
      <c r="AR171" s="57"/>
      <c r="AS171" s="57"/>
      <c r="AT171" s="57"/>
      <c r="AU171" s="57"/>
      <c r="AV171" s="57"/>
      <c r="AW171" s="45"/>
    </row>
    <row r="172" spans="1:49">
      <c r="A172" s="12" t="str">
        <f>Roster!A172</f>
        <v/>
      </c>
      <c r="B172" s="28">
        <f>Roster!C172</f>
        <v>0</v>
      </c>
      <c r="C172" s="55"/>
      <c r="D172" s="56"/>
      <c r="E172" s="57"/>
      <c r="F172" s="57"/>
      <c r="G172" s="57"/>
      <c r="H172" s="57"/>
      <c r="I172" s="57"/>
      <c r="J172" s="57"/>
      <c r="K172" s="45"/>
      <c r="L172" s="58"/>
      <c r="M172" s="56"/>
      <c r="N172" s="57"/>
      <c r="O172" s="57"/>
      <c r="P172" s="57"/>
      <c r="Q172" s="57"/>
      <c r="R172" s="57"/>
      <c r="S172" s="57"/>
      <c r="T172" s="45"/>
      <c r="U172" s="74"/>
      <c r="V172" s="45"/>
      <c r="W172" s="56"/>
      <c r="X172" s="57"/>
      <c r="Y172" s="57"/>
      <c r="Z172" s="57"/>
      <c r="AA172" s="57"/>
      <c r="AB172" s="57"/>
      <c r="AC172" s="57"/>
      <c r="AD172" s="45"/>
      <c r="AE172" s="65"/>
      <c r="AF172" s="56"/>
      <c r="AG172" s="57"/>
      <c r="AH172" s="57"/>
      <c r="AI172" s="57"/>
      <c r="AJ172" s="57"/>
      <c r="AK172" s="57"/>
      <c r="AL172" s="57"/>
      <c r="AM172" s="45"/>
      <c r="AN172" s="74"/>
      <c r="AO172" s="45"/>
      <c r="AP172" s="56"/>
      <c r="AQ172" s="57"/>
      <c r="AR172" s="57"/>
      <c r="AS172" s="57"/>
      <c r="AT172" s="57"/>
      <c r="AU172" s="57"/>
      <c r="AV172" s="57"/>
      <c r="AW172" s="45"/>
    </row>
    <row r="173" spans="1:49">
      <c r="A173" s="12" t="str">
        <f>Roster!A173</f>
        <v/>
      </c>
      <c r="B173" s="28">
        <f>Roster!C173</f>
        <v>0</v>
      </c>
      <c r="C173" s="55"/>
      <c r="D173" s="56"/>
      <c r="E173" s="57"/>
      <c r="F173" s="57"/>
      <c r="G173" s="57"/>
      <c r="H173" s="57"/>
      <c r="I173" s="57"/>
      <c r="J173" s="57"/>
      <c r="K173" s="45"/>
      <c r="L173" s="58"/>
      <c r="M173" s="56"/>
      <c r="N173" s="57"/>
      <c r="O173" s="57"/>
      <c r="P173" s="57"/>
      <c r="Q173" s="57"/>
      <c r="R173" s="57"/>
      <c r="S173" s="57"/>
      <c r="T173" s="45"/>
      <c r="U173" s="74"/>
      <c r="V173" s="45"/>
      <c r="W173" s="56"/>
      <c r="X173" s="57"/>
      <c r="Y173" s="57"/>
      <c r="Z173" s="57"/>
      <c r="AA173" s="57"/>
      <c r="AB173" s="57"/>
      <c r="AC173" s="57"/>
      <c r="AD173" s="45"/>
      <c r="AE173" s="65"/>
      <c r="AF173" s="56"/>
      <c r="AG173" s="57"/>
      <c r="AH173" s="57"/>
      <c r="AI173" s="57"/>
      <c r="AJ173" s="57"/>
      <c r="AK173" s="57"/>
      <c r="AL173" s="57"/>
      <c r="AM173" s="45"/>
      <c r="AN173" s="74"/>
      <c r="AO173" s="45"/>
      <c r="AP173" s="56"/>
      <c r="AQ173" s="57"/>
      <c r="AR173" s="57"/>
      <c r="AS173" s="57"/>
      <c r="AT173" s="57"/>
      <c r="AU173" s="57"/>
      <c r="AV173" s="57"/>
      <c r="AW173" s="45"/>
    </row>
    <row r="174" spans="1:49">
      <c r="A174" s="12" t="str">
        <f>Roster!A174</f>
        <v/>
      </c>
      <c r="B174" s="28">
        <f>Roster!C174</f>
        <v>0</v>
      </c>
      <c r="C174" s="55"/>
      <c r="D174" s="56"/>
      <c r="E174" s="57"/>
      <c r="F174" s="57"/>
      <c r="G174" s="57"/>
      <c r="H174" s="57"/>
      <c r="I174" s="57"/>
      <c r="J174" s="57"/>
      <c r="K174" s="45"/>
      <c r="L174" s="58"/>
      <c r="M174" s="56"/>
      <c r="N174" s="57"/>
      <c r="O174" s="57"/>
      <c r="P174" s="57"/>
      <c r="Q174" s="57"/>
      <c r="R174" s="57"/>
      <c r="S174" s="57"/>
      <c r="T174" s="45"/>
      <c r="U174" s="74"/>
      <c r="V174" s="45"/>
      <c r="W174" s="56"/>
      <c r="X174" s="57"/>
      <c r="Y174" s="57"/>
      <c r="Z174" s="57"/>
      <c r="AA174" s="57"/>
      <c r="AB174" s="57"/>
      <c r="AC174" s="57"/>
      <c r="AD174" s="45"/>
      <c r="AE174" s="65"/>
      <c r="AF174" s="56"/>
      <c r="AG174" s="57"/>
      <c r="AH174" s="57"/>
      <c r="AI174" s="57"/>
      <c r="AJ174" s="57"/>
      <c r="AK174" s="57"/>
      <c r="AL174" s="57"/>
      <c r="AM174" s="45"/>
      <c r="AN174" s="74"/>
      <c r="AO174" s="45"/>
      <c r="AP174" s="56"/>
      <c r="AQ174" s="57"/>
      <c r="AR174" s="57"/>
      <c r="AS174" s="57"/>
      <c r="AT174" s="57"/>
      <c r="AU174" s="57"/>
      <c r="AV174" s="57"/>
      <c r="AW174" s="45"/>
    </row>
    <row r="175" spans="1:49">
      <c r="A175" s="12" t="str">
        <f>Roster!A175</f>
        <v/>
      </c>
      <c r="B175" s="28">
        <f>Roster!C175</f>
        <v>0</v>
      </c>
      <c r="C175" s="55"/>
      <c r="D175" s="56"/>
      <c r="E175" s="57"/>
      <c r="F175" s="57"/>
      <c r="G175" s="57"/>
      <c r="H175" s="57"/>
      <c r="I175" s="57"/>
      <c r="J175" s="57"/>
      <c r="K175" s="45"/>
      <c r="L175" s="58"/>
      <c r="M175" s="56"/>
      <c r="N175" s="57"/>
      <c r="O175" s="57"/>
      <c r="P175" s="57"/>
      <c r="Q175" s="57"/>
      <c r="R175" s="57"/>
      <c r="S175" s="57"/>
      <c r="T175" s="45"/>
      <c r="U175" s="74"/>
      <c r="V175" s="45"/>
      <c r="W175" s="56"/>
      <c r="X175" s="57"/>
      <c r="Y175" s="57"/>
      <c r="Z175" s="57"/>
      <c r="AA175" s="57"/>
      <c r="AB175" s="57"/>
      <c r="AC175" s="57"/>
      <c r="AD175" s="45"/>
      <c r="AE175" s="65"/>
      <c r="AF175" s="56"/>
      <c r="AG175" s="57"/>
      <c r="AH175" s="57"/>
      <c r="AI175" s="57"/>
      <c r="AJ175" s="57"/>
      <c r="AK175" s="57"/>
      <c r="AL175" s="57"/>
      <c r="AM175" s="45"/>
      <c r="AN175" s="74"/>
      <c r="AO175" s="45"/>
      <c r="AP175" s="56"/>
      <c r="AQ175" s="57"/>
      <c r="AR175" s="57"/>
      <c r="AS175" s="57"/>
      <c r="AT175" s="57"/>
      <c r="AU175" s="57"/>
      <c r="AV175" s="57"/>
      <c r="AW175" s="45"/>
    </row>
    <row r="176" spans="1:49">
      <c r="A176" s="12" t="str">
        <f>Roster!A176</f>
        <v/>
      </c>
      <c r="B176" s="28">
        <f>Roster!C176</f>
        <v>0</v>
      </c>
      <c r="C176" s="55"/>
      <c r="D176" s="56"/>
      <c r="E176" s="57"/>
      <c r="F176" s="57"/>
      <c r="G176" s="57"/>
      <c r="H176" s="57"/>
      <c r="I176" s="57"/>
      <c r="J176" s="57"/>
      <c r="K176" s="45"/>
      <c r="L176" s="58"/>
      <c r="M176" s="56"/>
      <c r="N176" s="57"/>
      <c r="O176" s="57"/>
      <c r="P176" s="57"/>
      <c r="Q176" s="57"/>
      <c r="R176" s="57"/>
      <c r="S176" s="57"/>
      <c r="T176" s="45"/>
      <c r="U176" s="74"/>
      <c r="V176" s="45"/>
      <c r="W176" s="56"/>
      <c r="X176" s="57"/>
      <c r="Y176" s="57"/>
      <c r="Z176" s="57"/>
      <c r="AA176" s="57"/>
      <c r="AB176" s="57"/>
      <c r="AC176" s="57"/>
      <c r="AD176" s="45"/>
      <c r="AE176" s="65"/>
      <c r="AF176" s="56"/>
      <c r="AG176" s="57"/>
      <c r="AH176" s="57"/>
      <c r="AI176" s="57"/>
      <c r="AJ176" s="57"/>
      <c r="AK176" s="57"/>
      <c r="AL176" s="57"/>
      <c r="AM176" s="45"/>
      <c r="AN176" s="74"/>
      <c r="AO176" s="45"/>
      <c r="AP176" s="56"/>
      <c r="AQ176" s="57"/>
      <c r="AR176" s="57"/>
      <c r="AS176" s="57"/>
      <c r="AT176" s="57"/>
      <c r="AU176" s="57"/>
      <c r="AV176" s="57"/>
      <c r="AW176" s="45"/>
    </row>
    <row r="177" spans="1:49">
      <c r="A177" s="12" t="str">
        <f>Roster!A177</f>
        <v/>
      </c>
      <c r="B177" s="28">
        <f>Roster!C177</f>
        <v>0</v>
      </c>
      <c r="C177" s="55"/>
      <c r="D177" s="56"/>
      <c r="E177" s="57"/>
      <c r="F177" s="57"/>
      <c r="G177" s="57"/>
      <c r="H177" s="57"/>
      <c r="I177" s="57"/>
      <c r="J177" s="57"/>
      <c r="K177" s="45"/>
      <c r="L177" s="58"/>
      <c r="M177" s="56"/>
      <c r="N177" s="57"/>
      <c r="O177" s="57"/>
      <c r="P177" s="57"/>
      <c r="Q177" s="57"/>
      <c r="R177" s="57"/>
      <c r="S177" s="57"/>
      <c r="T177" s="45"/>
      <c r="U177" s="74"/>
      <c r="V177" s="45"/>
      <c r="W177" s="56"/>
      <c r="X177" s="57"/>
      <c r="Y177" s="57"/>
      <c r="Z177" s="57"/>
      <c r="AA177" s="57"/>
      <c r="AB177" s="57"/>
      <c r="AC177" s="57"/>
      <c r="AD177" s="45"/>
      <c r="AE177" s="65"/>
      <c r="AF177" s="56"/>
      <c r="AG177" s="57"/>
      <c r="AH177" s="57"/>
      <c r="AI177" s="57"/>
      <c r="AJ177" s="57"/>
      <c r="AK177" s="57"/>
      <c r="AL177" s="57"/>
      <c r="AM177" s="45"/>
      <c r="AN177" s="74"/>
      <c r="AO177" s="45"/>
      <c r="AP177" s="56"/>
      <c r="AQ177" s="57"/>
      <c r="AR177" s="57"/>
      <c r="AS177" s="57"/>
      <c r="AT177" s="57"/>
      <c r="AU177" s="57"/>
      <c r="AV177" s="57"/>
      <c r="AW177" s="45"/>
    </row>
    <row r="178" spans="1:49">
      <c r="A178" s="12" t="str">
        <f>Roster!A178</f>
        <v/>
      </c>
      <c r="B178" s="28">
        <f>Roster!C178</f>
        <v>0</v>
      </c>
      <c r="C178" s="55"/>
      <c r="D178" s="56"/>
      <c r="E178" s="57"/>
      <c r="F178" s="57"/>
      <c r="G178" s="57"/>
      <c r="H178" s="57"/>
      <c r="I178" s="57"/>
      <c r="J178" s="57"/>
      <c r="K178" s="45"/>
      <c r="L178" s="58"/>
      <c r="M178" s="56"/>
      <c r="N178" s="57"/>
      <c r="O178" s="57"/>
      <c r="P178" s="57"/>
      <c r="Q178" s="57"/>
      <c r="R178" s="57"/>
      <c r="S178" s="57"/>
      <c r="T178" s="45"/>
      <c r="U178" s="74"/>
      <c r="V178" s="45"/>
      <c r="W178" s="56"/>
      <c r="X178" s="57"/>
      <c r="Y178" s="57"/>
      <c r="Z178" s="57"/>
      <c r="AA178" s="57"/>
      <c r="AB178" s="57"/>
      <c r="AC178" s="57"/>
      <c r="AD178" s="45"/>
      <c r="AE178" s="65"/>
      <c r="AF178" s="56"/>
      <c r="AG178" s="57"/>
      <c r="AH178" s="57"/>
      <c r="AI178" s="57"/>
      <c r="AJ178" s="57"/>
      <c r="AK178" s="57"/>
      <c r="AL178" s="57"/>
      <c r="AM178" s="45"/>
      <c r="AN178" s="74"/>
      <c r="AO178" s="45"/>
      <c r="AP178" s="56"/>
      <c r="AQ178" s="57"/>
      <c r="AR178" s="57"/>
      <c r="AS178" s="57"/>
      <c r="AT178" s="57"/>
      <c r="AU178" s="57"/>
      <c r="AV178" s="57"/>
      <c r="AW178" s="45"/>
    </row>
    <row r="179" spans="1:49">
      <c r="A179" s="12" t="str">
        <f>Roster!A179</f>
        <v/>
      </c>
      <c r="B179" s="28">
        <f>Roster!C179</f>
        <v>0</v>
      </c>
      <c r="C179" s="55"/>
      <c r="D179" s="56"/>
      <c r="E179" s="57"/>
      <c r="F179" s="57"/>
      <c r="G179" s="57"/>
      <c r="H179" s="57"/>
      <c r="I179" s="57"/>
      <c r="J179" s="57"/>
      <c r="K179" s="45"/>
      <c r="L179" s="58"/>
      <c r="M179" s="56"/>
      <c r="N179" s="57"/>
      <c r="O179" s="57"/>
      <c r="P179" s="57"/>
      <c r="Q179" s="57"/>
      <c r="R179" s="57"/>
      <c r="S179" s="57"/>
      <c r="T179" s="45"/>
      <c r="U179" s="74"/>
      <c r="V179" s="45"/>
      <c r="W179" s="56"/>
      <c r="X179" s="57"/>
      <c r="Y179" s="57"/>
      <c r="Z179" s="57"/>
      <c r="AA179" s="57"/>
      <c r="AB179" s="57"/>
      <c r="AC179" s="57"/>
      <c r="AD179" s="45"/>
      <c r="AE179" s="65"/>
      <c r="AF179" s="56"/>
      <c r="AG179" s="57"/>
      <c r="AH179" s="57"/>
      <c r="AI179" s="57"/>
      <c r="AJ179" s="57"/>
      <c r="AK179" s="57"/>
      <c r="AL179" s="57"/>
      <c r="AM179" s="45"/>
      <c r="AN179" s="74"/>
      <c r="AO179" s="45"/>
      <c r="AP179" s="56"/>
      <c r="AQ179" s="57"/>
      <c r="AR179" s="57"/>
      <c r="AS179" s="57"/>
      <c r="AT179" s="57"/>
      <c r="AU179" s="57"/>
      <c r="AV179" s="57"/>
      <c r="AW179" s="45"/>
    </row>
    <row r="180" spans="1:49">
      <c r="A180" s="12" t="str">
        <f>Roster!A180</f>
        <v/>
      </c>
      <c r="B180" s="28">
        <f>Roster!C180</f>
        <v>0</v>
      </c>
      <c r="C180" s="55"/>
      <c r="D180" s="56"/>
      <c r="E180" s="57"/>
      <c r="F180" s="57"/>
      <c r="G180" s="57"/>
      <c r="H180" s="57"/>
      <c r="I180" s="57"/>
      <c r="J180" s="57"/>
      <c r="K180" s="45"/>
      <c r="L180" s="58"/>
      <c r="M180" s="56"/>
      <c r="N180" s="57"/>
      <c r="O180" s="57"/>
      <c r="P180" s="57"/>
      <c r="Q180" s="57"/>
      <c r="R180" s="57"/>
      <c r="S180" s="57"/>
      <c r="T180" s="45"/>
      <c r="U180" s="74"/>
      <c r="V180" s="45"/>
      <c r="W180" s="56"/>
      <c r="X180" s="57"/>
      <c r="Y180" s="57"/>
      <c r="Z180" s="57"/>
      <c r="AA180" s="57"/>
      <c r="AB180" s="57"/>
      <c r="AC180" s="57"/>
      <c r="AD180" s="45"/>
      <c r="AE180" s="65"/>
      <c r="AF180" s="56"/>
      <c r="AG180" s="57"/>
      <c r="AH180" s="57"/>
      <c r="AI180" s="57"/>
      <c r="AJ180" s="57"/>
      <c r="AK180" s="57"/>
      <c r="AL180" s="57"/>
      <c r="AM180" s="45"/>
      <c r="AN180" s="74"/>
      <c r="AO180" s="45"/>
      <c r="AP180" s="56"/>
      <c r="AQ180" s="57"/>
      <c r="AR180" s="57"/>
      <c r="AS180" s="57"/>
      <c r="AT180" s="57"/>
      <c r="AU180" s="57"/>
      <c r="AV180" s="57"/>
      <c r="AW180" s="45"/>
    </row>
    <row r="181" spans="1:49">
      <c r="A181" s="12" t="str">
        <f>Roster!A181</f>
        <v/>
      </c>
      <c r="B181" s="28">
        <f>Roster!C181</f>
        <v>0</v>
      </c>
      <c r="C181" s="55"/>
      <c r="D181" s="56"/>
      <c r="E181" s="57"/>
      <c r="F181" s="57"/>
      <c r="G181" s="57"/>
      <c r="H181" s="57"/>
      <c r="I181" s="57"/>
      <c r="J181" s="57"/>
      <c r="K181" s="45"/>
      <c r="L181" s="58"/>
      <c r="M181" s="56"/>
      <c r="N181" s="57"/>
      <c r="O181" s="57"/>
      <c r="P181" s="57"/>
      <c r="Q181" s="57"/>
      <c r="R181" s="57"/>
      <c r="S181" s="57"/>
      <c r="T181" s="45"/>
      <c r="U181" s="74"/>
      <c r="V181" s="45"/>
      <c r="W181" s="56"/>
      <c r="X181" s="57"/>
      <c r="Y181" s="57"/>
      <c r="Z181" s="57"/>
      <c r="AA181" s="57"/>
      <c r="AB181" s="57"/>
      <c r="AC181" s="57"/>
      <c r="AD181" s="45"/>
      <c r="AE181" s="65"/>
      <c r="AF181" s="56"/>
      <c r="AG181" s="57"/>
      <c r="AH181" s="57"/>
      <c r="AI181" s="57"/>
      <c r="AJ181" s="57"/>
      <c r="AK181" s="57"/>
      <c r="AL181" s="57"/>
      <c r="AM181" s="45"/>
      <c r="AN181" s="74"/>
      <c r="AO181" s="45"/>
      <c r="AP181" s="56"/>
      <c r="AQ181" s="57"/>
      <c r="AR181" s="57"/>
      <c r="AS181" s="57"/>
      <c r="AT181" s="57"/>
      <c r="AU181" s="57"/>
      <c r="AV181" s="57"/>
      <c r="AW181" s="45"/>
    </row>
    <row r="182" spans="1:49">
      <c r="A182" s="12" t="str">
        <f>Roster!A182</f>
        <v/>
      </c>
      <c r="B182" s="28">
        <f>Roster!C182</f>
        <v>0</v>
      </c>
      <c r="C182" s="55"/>
      <c r="D182" s="56"/>
      <c r="E182" s="57"/>
      <c r="F182" s="57"/>
      <c r="G182" s="57"/>
      <c r="H182" s="57"/>
      <c r="I182" s="57"/>
      <c r="J182" s="57"/>
      <c r="K182" s="45"/>
      <c r="L182" s="58"/>
      <c r="M182" s="56"/>
      <c r="N182" s="57"/>
      <c r="O182" s="57"/>
      <c r="P182" s="57"/>
      <c r="Q182" s="57"/>
      <c r="R182" s="57"/>
      <c r="S182" s="57"/>
      <c r="T182" s="45"/>
      <c r="U182" s="74"/>
      <c r="V182" s="45"/>
      <c r="W182" s="56"/>
      <c r="X182" s="57"/>
      <c r="Y182" s="57"/>
      <c r="Z182" s="57"/>
      <c r="AA182" s="57"/>
      <c r="AB182" s="57"/>
      <c r="AC182" s="57"/>
      <c r="AD182" s="45"/>
      <c r="AE182" s="65"/>
      <c r="AF182" s="56"/>
      <c r="AG182" s="57"/>
      <c r="AH182" s="57"/>
      <c r="AI182" s="57"/>
      <c r="AJ182" s="57"/>
      <c r="AK182" s="57"/>
      <c r="AL182" s="57"/>
      <c r="AM182" s="45"/>
      <c r="AN182" s="74"/>
      <c r="AO182" s="45"/>
      <c r="AP182" s="56"/>
      <c r="AQ182" s="57"/>
      <c r="AR182" s="57"/>
      <c r="AS182" s="57"/>
      <c r="AT182" s="57"/>
      <c r="AU182" s="57"/>
      <c r="AV182" s="57"/>
      <c r="AW182" s="45"/>
    </row>
    <row r="183" spans="1:49">
      <c r="A183" s="12" t="str">
        <f>Roster!A183</f>
        <v/>
      </c>
      <c r="B183" s="28">
        <f>Roster!C183</f>
        <v>0</v>
      </c>
      <c r="C183" s="55"/>
      <c r="D183" s="56"/>
      <c r="E183" s="57"/>
      <c r="F183" s="57"/>
      <c r="G183" s="57"/>
      <c r="H183" s="57"/>
      <c r="I183" s="57"/>
      <c r="J183" s="57"/>
      <c r="K183" s="45"/>
      <c r="L183" s="58"/>
      <c r="M183" s="56"/>
      <c r="N183" s="57"/>
      <c r="O183" s="57"/>
      <c r="P183" s="57"/>
      <c r="Q183" s="57"/>
      <c r="R183" s="57"/>
      <c r="S183" s="57"/>
      <c r="T183" s="45"/>
      <c r="U183" s="74"/>
      <c r="V183" s="45"/>
      <c r="W183" s="56"/>
      <c r="X183" s="57"/>
      <c r="Y183" s="57"/>
      <c r="Z183" s="57"/>
      <c r="AA183" s="57"/>
      <c r="AB183" s="57"/>
      <c r="AC183" s="57"/>
      <c r="AD183" s="45"/>
      <c r="AE183" s="65"/>
      <c r="AF183" s="56"/>
      <c r="AG183" s="57"/>
      <c r="AH183" s="57"/>
      <c r="AI183" s="57"/>
      <c r="AJ183" s="57"/>
      <c r="AK183" s="57"/>
      <c r="AL183" s="57"/>
      <c r="AM183" s="45"/>
      <c r="AN183" s="74"/>
      <c r="AO183" s="45"/>
      <c r="AP183" s="56"/>
      <c r="AQ183" s="57"/>
      <c r="AR183" s="57"/>
      <c r="AS183" s="57"/>
      <c r="AT183" s="57"/>
      <c r="AU183" s="57"/>
      <c r="AV183" s="57"/>
      <c r="AW183" s="45"/>
    </row>
    <row r="184" spans="1:49">
      <c r="A184" s="12" t="str">
        <f>Roster!A184</f>
        <v/>
      </c>
      <c r="B184" s="28">
        <f>Roster!C184</f>
        <v>0</v>
      </c>
      <c r="C184" s="55"/>
      <c r="D184" s="56"/>
      <c r="E184" s="57"/>
      <c r="F184" s="57"/>
      <c r="G184" s="57"/>
      <c r="H184" s="57"/>
      <c r="I184" s="57"/>
      <c r="J184" s="57"/>
      <c r="K184" s="45"/>
      <c r="L184" s="58"/>
      <c r="M184" s="56"/>
      <c r="N184" s="57"/>
      <c r="O184" s="57"/>
      <c r="P184" s="57"/>
      <c r="Q184" s="57"/>
      <c r="R184" s="57"/>
      <c r="S184" s="57"/>
      <c r="T184" s="45"/>
      <c r="U184" s="74"/>
      <c r="V184" s="45"/>
      <c r="W184" s="56"/>
      <c r="X184" s="57"/>
      <c r="Y184" s="57"/>
      <c r="Z184" s="57"/>
      <c r="AA184" s="57"/>
      <c r="AB184" s="57"/>
      <c r="AC184" s="57"/>
      <c r="AD184" s="45"/>
      <c r="AE184" s="65"/>
      <c r="AF184" s="56"/>
      <c r="AG184" s="57"/>
      <c r="AH184" s="57"/>
      <c r="AI184" s="57"/>
      <c r="AJ184" s="57"/>
      <c r="AK184" s="57"/>
      <c r="AL184" s="57"/>
      <c r="AM184" s="45"/>
      <c r="AN184" s="74"/>
      <c r="AO184" s="45"/>
      <c r="AP184" s="56"/>
      <c r="AQ184" s="57"/>
      <c r="AR184" s="57"/>
      <c r="AS184" s="57"/>
      <c r="AT184" s="57"/>
      <c r="AU184" s="57"/>
      <c r="AV184" s="57"/>
      <c r="AW184" s="45"/>
    </row>
    <row r="185" spans="1:49">
      <c r="A185" s="12" t="str">
        <f>Roster!A185</f>
        <v/>
      </c>
      <c r="B185" s="28">
        <f>Roster!C185</f>
        <v>0</v>
      </c>
      <c r="C185" s="55"/>
      <c r="D185" s="56"/>
      <c r="E185" s="57"/>
      <c r="F185" s="57"/>
      <c r="G185" s="57"/>
      <c r="H185" s="57"/>
      <c r="I185" s="57"/>
      <c r="J185" s="57"/>
      <c r="K185" s="45"/>
      <c r="L185" s="58"/>
      <c r="M185" s="56"/>
      <c r="N185" s="57"/>
      <c r="O185" s="57"/>
      <c r="P185" s="57"/>
      <c r="Q185" s="57"/>
      <c r="R185" s="57"/>
      <c r="S185" s="57"/>
      <c r="T185" s="45"/>
      <c r="U185" s="74"/>
      <c r="V185" s="45"/>
      <c r="W185" s="56"/>
      <c r="X185" s="57"/>
      <c r="Y185" s="57"/>
      <c r="Z185" s="57"/>
      <c r="AA185" s="57"/>
      <c r="AB185" s="57"/>
      <c r="AC185" s="57"/>
      <c r="AD185" s="45"/>
      <c r="AE185" s="65"/>
      <c r="AF185" s="56"/>
      <c r="AG185" s="57"/>
      <c r="AH185" s="57"/>
      <c r="AI185" s="57"/>
      <c r="AJ185" s="57"/>
      <c r="AK185" s="57"/>
      <c r="AL185" s="57"/>
      <c r="AM185" s="45"/>
      <c r="AN185" s="74"/>
      <c r="AO185" s="45"/>
      <c r="AP185" s="56"/>
      <c r="AQ185" s="57"/>
      <c r="AR185" s="57"/>
      <c r="AS185" s="57"/>
      <c r="AT185" s="57"/>
      <c r="AU185" s="57"/>
      <c r="AV185" s="57"/>
      <c r="AW185" s="45"/>
    </row>
    <row r="186" spans="1:49">
      <c r="A186" s="12" t="str">
        <f>Roster!A186</f>
        <v/>
      </c>
      <c r="B186" s="28">
        <f>Roster!C186</f>
        <v>0</v>
      </c>
      <c r="C186" s="55"/>
      <c r="D186" s="56"/>
      <c r="E186" s="57"/>
      <c r="F186" s="57"/>
      <c r="G186" s="57"/>
      <c r="H186" s="57"/>
      <c r="I186" s="57"/>
      <c r="J186" s="57"/>
      <c r="K186" s="45"/>
      <c r="L186" s="58"/>
      <c r="M186" s="56"/>
      <c r="N186" s="57"/>
      <c r="O186" s="57"/>
      <c r="P186" s="57"/>
      <c r="Q186" s="57"/>
      <c r="R186" s="57"/>
      <c r="S186" s="57"/>
      <c r="T186" s="45"/>
      <c r="U186" s="74"/>
      <c r="V186" s="45"/>
      <c r="W186" s="56"/>
      <c r="X186" s="57"/>
      <c r="Y186" s="57"/>
      <c r="Z186" s="57"/>
      <c r="AA186" s="57"/>
      <c r="AB186" s="57"/>
      <c r="AC186" s="57"/>
      <c r="AD186" s="45"/>
      <c r="AE186" s="65"/>
      <c r="AF186" s="56"/>
      <c r="AG186" s="57"/>
      <c r="AH186" s="57"/>
      <c r="AI186" s="57"/>
      <c r="AJ186" s="57"/>
      <c r="AK186" s="57"/>
      <c r="AL186" s="57"/>
      <c r="AM186" s="45"/>
      <c r="AN186" s="74"/>
      <c r="AO186" s="45"/>
      <c r="AP186" s="56"/>
      <c r="AQ186" s="57"/>
      <c r="AR186" s="57"/>
      <c r="AS186" s="57"/>
      <c r="AT186" s="57"/>
      <c r="AU186" s="57"/>
      <c r="AV186" s="57"/>
      <c r="AW186" s="45"/>
    </row>
    <row r="187" spans="1:49">
      <c r="A187" s="12" t="str">
        <f>Roster!A187</f>
        <v/>
      </c>
      <c r="B187" s="28">
        <f>Roster!C187</f>
        <v>0</v>
      </c>
      <c r="C187" s="55"/>
      <c r="D187" s="56"/>
      <c r="E187" s="57"/>
      <c r="F187" s="57"/>
      <c r="G187" s="57"/>
      <c r="H187" s="57"/>
      <c r="I187" s="57"/>
      <c r="J187" s="57"/>
      <c r="K187" s="45"/>
      <c r="L187" s="58"/>
      <c r="M187" s="56"/>
      <c r="N187" s="57"/>
      <c r="O187" s="57"/>
      <c r="P187" s="57"/>
      <c r="Q187" s="57"/>
      <c r="R187" s="57"/>
      <c r="S187" s="57"/>
      <c r="T187" s="45"/>
      <c r="U187" s="74"/>
      <c r="V187" s="45"/>
      <c r="W187" s="56"/>
      <c r="X187" s="57"/>
      <c r="Y187" s="57"/>
      <c r="Z187" s="57"/>
      <c r="AA187" s="57"/>
      <c r="AB187" s="57"/>
      <c r="AC187" s="57"/>
      <c r="AD187" s="45"/>
      <c r="AE187" s="65"/>
      <c r="AF187" s="56"/>
      <c r="AG187" s="57"/>
      <c r="AH187" s="57"/>
      <c r="AI187" s="57"/>
      <c r="AJ187" s="57"/>
      <c r="AK187" s="57"/>
      <c r="AL187" s="57"/>
      <c r="AM187" s="45"/>
      <c r="AN187" s="74"/>
      <c r="AO187" s="45"/>
      <c r="AP187" s="56"/>
      <c r="AQ187" s="57"/>
      <c r="AR187" s="57"/>
      <c r="AS187" s="57"/>
      <c r="AT187" s="57"/>
      <c r="AU187" s="57"/>
      <c r="AV187" s="57"/>
      <c r="AW187" s="45"/>
    </row>
    <row r="188" spans="1:49">
      <c r="A188" s="12" t="str">
        <f>Roster!A188</f>
        <v/>
      </c>
      <c r="B188" s="28">
        <f>Roster!C188</f>
        <v>0</v>
      </c>
      <c r="C188" s="55"/>
      <c r="D188" s="56"/>
      <c r="E188" s="57"/>
      <c r="F188" s="57"/>
      <c r="G188" s="57"/>
      <c r="H188" s="57"/>
      <c r="I188" s="57"/>
      <c r="J188" s="57"/>
      <c r="K188" s="45"/>
      <c r="L188" s="58"/>
      <c r="M188" s="56"/>
      <c r="N188" s="57"/>
      <c r="O188" s="57"/>
      <c r="P188" s="57"/>
      <c r="Q188" s="57"/>
      <c r="R188" s="57"/>
      <c r="S188" s="57"/>
      <c r="T188" s="45"/>
      <c r="U188" s="74"/>
      <c r="V188" s="45"/>
      <c r="W188" s="56"/>
      <c r="X188" s="57"/>
      <c r="Y188" s="57"/>
      <c r="Z188" s="57"/>
      <c r="AA188" s="57"/>
      <c r="AB188" s="57"/>
      <c r="AC188" s="57"/>
      <c r="AD188" s="45"/>
      <c r="AE188" s="65"/>
      <c r="AF188" s="56"/>
      <c r="AG188" s="57"/>
      <c r="AH188" s="57"/>
      <c r="AI188" s="57"/>
      <c r="AJ188" s="57"/>
      <c r="AK188" s="57"/>
      <c r="AL188" s="57"/>
      <c r="AM188" s="45"/>
      <c r="AN188" s="74"/>
      <c r="AO188" s="45"/>
      <c r="AP188" s="56"/>
      <c r="AQ188" s="57"/>
      <c r="AR188" s="57"/>
      <c r="AS188" s="57"/>
      <c r="AT188" s="57"/>
      <c r="AU188" s="57"/>
      <c r="AV188" s="57"/>
      <c r="AW188" s="45"/>
    </row>
    <row r="189" spans="1:49">
      <c r="A189" s="12" t="str">
        <f>Roster!A189</f>
        <v/>
      </c>
      <c r="B189" s="28">
        <f>Roster!C189</f>
        <v>0</v>
      </c>
      <c r="C189" s="55"/>
      <c r="D189" s="56"/>
      <c r="E189" s="57"/>
      <c r="F189" s="57"/>
      <c r="G189" s="57"/>
      <c r="H189" s="57"/>
      <c r="I189" s="57"/>
      <c r="J189" s="57"/>
      <c r="K189" s="45"/>
      <c r="L189" s="58"/>
      <c r="M189" s="56"/>
      <c r="N189" s="57"/>
      <c r="O189" s="57"/>
      <c r="P189" s="57"/>
      <c r="Q189" s="57"/>
      <c r="R189" s="57"/>
      <c r="S189" s="57"/>
      <c r="T189" s="45"/>
      <c r="U189" s="74"/>
      <c r="V189" s="45"/>
      <c r="W189" s="56"/>
      <c r="X189" s="57"/>
      <c r="Y189" s="57"/>
      <c r="Z189" s="57"/>
      <c r="AA189" s="57"/>
      <c r="AB189" s="57"/>
      <c r="AC189" s="57"/>
      <c r="AD189" s="45"/>
      <c r="AE189" s="65"/>
      <c r="AF189" s="56"/>
      <c r="AG189" s="57"/>
      <c r="AH189" s="57"/>
      <c r="AI189" s="57"/>
      <c r="AJ189" s="57"/>
      <c r="AK189" s="57"/>
      <c r="AL189" s="57"/>
      <c r="AM189" s="45"/>
      <c r="AN189" s="74"/>
      <c r="AO189" s="45"/>
      <c r="AP189" s="56"/>
      <c r="AQ189" s="57"/>
      <c r="AR189" s="57"/>
      <c r="AS189" s="57"/>
      <c r="AT189" s="57"/>
      <c r="AU189" s="57"/>
      <c r="AV189" s="57"/>
      <c r="AW189" s="45"/>
    </row>
    <row r="190" spans="1:49">
      <c r="A190" s="12" t="str">
        <f>Roster!A190</f>
        <v/>
      </c>
      <c r="B190" s="28">
        <f>Roster!C190</f>
        <v>0</v>
      </c>
      <c r="C190" s="55"/>
      <c r="D190" s="56"/>
      <c r="E190" s="57"/>
      <c r="F190" s="57"/>
      <c r="G190" s="57"/>
      <c r="H190" s="57"/>
      <c r="I190" s="57"/>
      <c r="J190" s="57"/>
      <c r="K190" s="45"/>
      <c r="L190" s="58"/>
      <c r="M190" s="56"/>
      <c r="N190" s="57"/>
      <c r="O190" s="57"/>
      <c r="P190" s="57"/>
      <c r="Q190" s="57"/>
      <c r="R190" s="57"/>
      <c r="S190" s="57"/>
      <c r="T190" s="45"/>
      <c r="U190" s="74"/>
      <c r="V190" s="45"/>
      <c r="W190" s="56"/>
      <c r="X190" s="57"/>
      <c r="Y190" s="57"/>
      <c r="Z190" s="57"/>
      <c r="AA190" s="57"/>
      <c r="AB190" s="57"/>
      <c r="AC190" s="57"/>
      <c r="AD190" s="45"/>
      <c r="AE190" s="65"/>
      <c r="AF190" s="56"/>
      <c r="AG190" s="57"/>
      <c r="AH190" s="57"/>
      <c r="AI190" s="57"/>
      <c r="AJ190" s="57"/>
      <c r="AK190" s="57"/>
      <c r="AL190" s="57"/>
      <c r="AM190" s="45"/>
      <c r="AN190" s="74"/>
      <c r="AO190" s="45"/>
      <c r="AP190" s="56"/>
      <c r="AQ190" s="57"/>
      <c r="AR190" s="57"/>
      <c r="AS190" s="57"/>
      <c r="AT190" s="57"/>
      <c r="AU190" s="57"/>
      <c r="AV190" s="57"/>
      <c r="AW190" s="45"/>
    </row>
    <row r="191" spans="1:49">
      <c r="A191" s="12" t="str">
        <f>Roster!A191</f>
        <v/>
      </c>
      <c r="B191" s="28">
        <f>Roster!C191</f>
        <v>0</v>
      </c>
      <c r="C191" s="55"/>
      <c r="D191" s="56"/>
      <c r="E191" s="57"/>
      <c r="F191" s="57"/>
      <c r="G191" s="57"/>
      <c r="H191" s="57"/>
      <c r="I191" s="57"/>
      <c r="J191" s="57"/>
      <c r="K191" s="45"/>
      <c r="L191" s="58"/>
      <c r="M191" s="56"/>
      <c r="N191" s="57"/>
      <c r="O191" s="57"/>
      <c r="P191" s="57"/>
      <c r="Q191" s="57"/>
      <c r="R191" s="57"/>
      <c r="S191" s="57"/>
      <c r="T191" s="45"/>
      <c r="U191" s="74"/>
      <c r="V191" s="45"/>
      <c r="W191" s="56"/>
      <c r="X191" s="57"/>
      <c r="Y191" s="57"/>
      <c r="Z191" s="57"/>
      <c r="AA191" s="57"/>
      <c r="AB191" s="57"/>
      <c r="AC191" s="57"/>
      <c r="AD191" s="45"/>
      <c r="AE191" s="65"/>
      <c r="AF191" s="56"/>
      <c r="AG191" s="57"/>
      <c r="AH191" s="57"/>
      <c r="AI191" s="57"/>
      <c r="AJ191" s="57"/>
      <c r="AK191" s="57"/>
      <c r="AL191" s="57"/>
      <c r="AM191" s="45"/>
      <c r="AN191" s="74"/>
      <c r="AO191" s="45"/>
      <c r="AP191" s="56"/>
      <c r="AQ191" s="57"/>
      <c r="AR191" s="57"/>
      <c r="AS191" s="57"/>
      <c r="AT191" s="57"/>
      <c r="AU191" s="57"/>
      <c r="AV191" s="57"/>
      <c r="AW191" s="45"/>
    </row>
    <row r="192" spans="1:49">
      <c r="A192" s="12" t="str">
        <f>Roster!A192</f>
        <v/>
      </c>
      <c r="B192" s="28">
        <f>Roster!C192</f>
        <v>0</v>
      </c>
      <c r="C192" s="55"/>
      <c r="D192" s="56"/>
      <c r="E192" s="57"/>
      <c r="F192" s="57"/>
      <c r="G192" s="57"/>
      <c r="H192" s="57"/>
      <c r="I192" s="57"/>
      <c r="J192" s="57"/>
      <c r="K192" s="45"/>
      <c r="L192" s="58"/>
      <c r="M192" s="56"/>
      <c r="N192" s="57"/>
      <c r="O192" s="57"/>
      <c r="P192" s="57"/>
      <c r="Q192" s="57"/>
      <c r="R192" s="57"/>
      <c r="S192" s="57"/>
      <c r="T192" s="45"/>
      <c r="U192" s="74"/>
      <c r="V192" s="45"/>
      <c r="W192" s="56"/>
      <c r="X192" s="57"/>
      <c r="Y192" s="57"/>
      <c r="Z192" s="57"/>
      <c r="AA192" s="57"/>
      <c r="AB192" s="57"/>
      <c r="AC192" s="57"/>
      <c r="AD192" s="45"/>
      <c r="AE192" s="65"/>
      <c r="AF192" s="56"/>
      <c r="AG192" s="57"/>
      <c r="AH192" s="57"/>
      <c r="AI192" s="57"/>
      <c r="AJ192" s="57"/>
      <c r="AK192" s="57"/>
      <c r="AL192" s="57"/>
      <c r="AM192" s="45"/>
      <c r="AN192" s="74"/>
      <c r="AO192" s="45"/>
      <c r="AP192" s="56"/>
      <c r="AQ192" s="57"/>
      <c r="AR192" s="57"/>
      <c r="AS192" s="57"/>
      <c r="AT192" s="57"/>
      <c r="AU192" s="57"/>
      <c r="AV192" s="57"/>
      <c r="AW192" s="45"/>
    </row>
    <row r="193" spans="1:49">
      <c r="A193" s="12" t="str">
        <f>Roster!A193</f>
        <v/>
      </c>
      <c r="B193" s="28">
        <f>Roster!C193</f>
        <v>0</v>
      </c>
      <c r="C193" s="55"/>
      <c r="D193" s="56"/>
      <c r="E193" s="57"/>
      <c r="F193" s="57"/>
      <c r="G193" s="57"/>
      <c r="H193" s="57"/>
      <c r="I193" s="57"/>
      <c r="J193" s="57"/>
      <c r="K193" s="45"/>
      <c r="L193" s="58"/>
      <c r="M193" s="56"/>
      <c r="N193" s="57"/>
      <c r="O193" s="57"/>
      <c r="P193" s="57"/>
      <c r="Q193" s="57"/>
      <c r="R193" s="57"/>
      <c r="S193" s="57"/>
      <c r="T193" s="45"/>
      <c r="U193" s="74"/>
      <c r="V193" s="45"/>
      <c r="W193" s="56"/>
      <c r="X193" s="57"/>
      <c r="Y193" s="57"/>
      <c r="Z193" s="57"/>
      <c r="AA193" s="57"/>
      <c r="AB193" s="57"/>
      <c r="AC193" s="57"/>
      <c r="AD193" s="45"/>
      <c r="AE193" s="65"/>
      <c r="AF193" s="56"/>
      <c r="AG193" s="57"/>
      <c r="AH193" s="57"/>
      <c r="AI193" s="57"/>
      <c r="AJ193" s="57"/>
      <c r="AK193" s="57"/>
      <c r="AL193" s="57"/>
      <c r="AM193" s="45"/>
      <c r="AN193" s="74"/>
      <c r="AO193" s="45"/>
      <c r="AP193" s="56"/>
      <c r="AQ193" s="57"/>
      <c r="AR193" s="57"/>
      <c r="AS193" s="57"/>
      <c r="AT193" s="57"/>
      <c r="AU193" s="57"/>
      <c r="AV193" s="57"/>
      <c r="AW193" s="45"/>
    </row>
    <row r="194" spans="1:49">
      <c r="A194" s="12" t="str">
        <f>Roster!A194</f>
        <v/>
      </c>
      <c r="B194" s="28">
        <f>Roster!C194</f>
        <v>0</v>
      </c>
      <c r="C194" s="55"/>
      <c r="D194" s="56"/>
      <c r="E194" s="57"/>
      <c r="F194" s="57"/>
      <c r="G194" s="57"/>
      <c r="H194" s="57"/>
      <c r="I194" s="57"/>
      <c r="J194" s="57"/>
      <c r="K194" s="45"/>
      <c r="L194" s="58"/>
      <c r="M194" s="56"/>
      <c r="N194" s="57"/>
      <c r="O194" s="57"/>
      <c r="P194" s="57"/>
      <c r="Q194" s="57"/>
      <c r="R194" s="57"/>
      <c r="S194" s="57"/>
      <c r="T194" s="45"/>
      <c r="U194" s="74"/>
      <c r="V194" s="45"/>
      <c r="W194" s="56"/>
      <c r="X194" s="57"/>
      <c r="Y194" s="57"/>
      <c r="Z194" s="57"/>
      <c r="AA194" s="57"/>
      <c r="AB194" s="57"/>
      <c r="AC194" s="57"/>
      <c r="AD194" s="45"/>
      <c r="AE194" s="65"/>
      <c r="AF194" s="56"/>
      <c r="AG194" s="57"/>
      <c r="AH194" s="57"/>
      <c r="AI194" s="57"/>
      <c r="AJ194" s="57"/>
      <c r="AK194" s="57"/>
      <c r="AL194" s="57"/>
      <c r="AM194" s="45"/>
      <c r="AN194" s="74"/>
      <c r="AO194" s="45"/>
      <c r="AP194" s="56"/>
      <c r="AQ194" s="57"/>
      <c r="AR194" s="57"/>
      <c r="AS194" s="57"/>
      <c r="AT194" s="57"/>
      <c r="AU194" s="57"/>
      <c r="AV194" s="57"/>
      <c r="AW194" s="45"/>
    </row>
    <row r="195" spans="1:49">
      <c r="A195" s="12" t="str">
        <f>Roster!A195</f>
        <v/>
      </c>
      <c r="B195" s="28">
        <f>Roster!C195</f>
        <v>0</v>
      </c>
      <c r="C195" s="55"/>
      <c r="D195" s="56"/>
      <c r="E195" s="57"/>
      <c r="F195" s="57"/>
      <c r="G195" s="57"/>
      <c r="H195" s="57"/>
      <c r="I195" s="57"/>
      <c r="J195" s="57"/>
      <c r="K195" s="45"/>
      <c r="L195" s="58"/>
      <c r="M195" s="56"/>
      <c r="N195" s="57"/>
      <c r="O195" s="57"/>
      <c r="P195" s="57"/>
      <c r="Q195" s="57"/>
      <c r="R195" s="57"/>
      <c r="S195" s="57"/>
      <c r="T195" s="45"/>
      <c r="U195" s="74"/>
      <c r="V195" s="45"/>
      <c r="W195" s="56"/>
      <c r="X195" s="57"/>
      <c r="Y195" s="57"/>
      <c r="Z195" s="57"/>
      <c r="AA195" s="57"/>
      <c r="AB195" s="57"/>
      <c r="AC195" s="57"/>
      <c r="AD195" s="45"/>
      <c r="AE195" s="65"/>
      <c r="AF195" s="56"/>
      <c r="AG195" s="57"/>
      <c r="AH195" s="57"/>
      <c r="AI195" s="57"/>
      <c r="AJ195" s="57"/>
      <c r="AK195" s="57"/>
      <c r="AL195" s="57"/>
      <c r="AM195" s="45"/>
      <c r="AN195" s="74"/>
      <c r="AO195" s="45"/>
      <c r="AP195" s="56"/>
      <c r="AQ195" s="57"/>
      <c r="AR195" s="57"/>
      <c r="AS195" s="57"/>
      <c r="AT195" s="57"/>
      <c r="AU195" s="57"/>
      <c r="AV195" s="57"/>
      <c r="AW195" s="45"/>
    </row>
    <row r="196" spans="1:49">
      <c r="A196" s="12" t="str">
        <f>Roster!A196</f>
        <v/>
      </c>
      <c r="B196" s="28">
        <f>Roster!C196</f>
        <v>0</v>
      </c>
      <c r="C196" s="55"/>
      <c r="D196" s="56"/>
      <c r="E196" s="57"/>
      <c r="F196" s="57"/>
      <c r="G196" s="57"/>
      <c r="H196" s="57"/>
      <c r="I196" s="57"/>
      <c r="J196" s="57"/>
      <c r="K196" s="45"/>
      <c r="L196" s="58"/>
      <c r="M196" s="56"/>
      <c r="N196" s="57"/>
      <c r="O196" s="57"/>
      <c r="P196" s="57"/>
      <c r="Q196" s="57"/>
      <c r="R196" s="57"/>
      <c r="S196" s="57"/>
      <c r="T196" s="45"/>
      <c r="U196" s="74"/>
      <c r="V196" s="45"/>
      <c r="W196" s="56"/>
      <c r="X196" s="57"/>
      <c r="Y196" s="57"/>
      <c r="Z196" s="57"/>
      <c r="AA196" s="57"/>
      <c r="AB196" s="57"/>
      <c r="AC196" s="57"/>
      <c r="AD196" s="45"/>
      <c r="AE196" s="65"/>
      <c r="AF196" s="56"/>
      <c r="AG196" s="57"/>
      <c r="AH196" s="57"/>
      <c r="AI196" s="57"/>
      <c r="AJ196" s="57"/>
      <c r="AK196" s="57"/>
      <c r="AL196" s="57"/>
      <c r="AM196" s="45"/>
      <c r="AN196" s="74"/>
      <c r="AO196" s="45"/>
      <c r="AP196" s="56"/>
      <c r="AQ196" s="57"/>
      <c r="AR196" s="57"/>
      <c r="AS196" s="57"/>
      <c r="AT196" s="57"/>
      <c r="AU196" s="57"/>
      <c r="AV196" s="57"/>
      <c r="AW196" s="45"/>
    </row>
    <row r="197" spans="1:49">
      <c r="A197" s="12" t="str">
        <f>Roster!A197</f>
        <v/>
      </c>
      <c r="B197" s="28">
        <f>Roster!C197</f>
        <v>0</v>
      </c>
      <c r="C197" s="55"/>
      <c r="D197" s="56"/>
      <c r="E197" s="57"/>
      <c r="F197" s="57"/>
      <c r="G197" s="57"/>
      <c r="H197" s="57"/>
      <c r="I197" s="57"/>
      <c r="J197" s="57"/>
      <c r="K197" s="45"/>
      <c r="L197" s="58"/>
      <c r="M197" s="56"/>
      <c r="N197" s="57"/>
      <c r="O197" s="57"/>
      <c r="P197" s="57"/>
      <c r="Q197" s="57"/>
      <c r="R197" s="57"/>
      <c r="S197" s="57"/>
      <c r="T197" s="45"/>
      <c r="U197" s="74"/>
      <c r="V197" s="45"/>
      <c r="W197" s="56"/>
      <c r="X197" s="57"/>
      <c r="Y197" s="57"/>
      <c r="Z197" s="57"/>
      <c r="AA197" s="57"/>
      <c r="AB197" s="57"/>
      <c r="AC197" s="57"/>
      <c r="AD197" s="45"/>
      <c r="AE197" s="65"/>
      <c r="AF197" s="56"/>
      <c r="AG197" s="57"/>
      <c r="AH197" s="57"/>
      <c r="AI197" s="57"/>
      <c r="AJ197" s="57"/>
      <c r="AK197" s="57"/>
      <c r="AL197" s="57"/>
      <c r="AM197" s="45"/>
      <c r="AN197" s="74"/>
      <c r="AO197" s="45"/>
      <c r="AP197" s="56"/>
      <c r="AQ197" s="57"/>
      <c r="AR197" s="57"/>
      <c r="AS197" s="57"/>
      <c r="AT197" s="57"/>
      <c r="AU197" s="57"/>
      <c r="AV197" s="57"/>
      <c r="AW197" s="45"/>
    </row>
    <row r="198" spans="1:49">
      <c r="A198" s="12" t="str">
        <f>Roster!A198</f>
        <v/>
      </c>
      <c r="B198" s="28">
        <f>Roster!C198</f>
        <v>0</v>
      </c>
      <c r="C198" s="55"/>
      <c r="D198" s="56"/>
      <c r="E198" s="57"/>
      <c r="F198" s="57"/>
      <c r="G198" s="57"/>
      <c r="H198" s="57"/>
      <c r="I198" s="57"/>
      <c r="J198" s="57"/>
      <c r="K198" s="45"/>
      <c r="L198" s="58"/>
      <c r="M198" s="56"/>
      <c r="N198" s="57"/>
      <c r="O198" s="57"/>
      <c r="P198" s="57"/>
      <c r="Q198" s="57"/>
      <c r="R198" s="57"/>
      <c r="S198" s="57"/>
      <c r="T198" s="45"/>
      <c r="U198" s="74"/>
      <c r="V198" s="45"/>
      <c r="W198" s="56"/>
      <c r="X198" s="57"/>
      <c r="Y198" s="57"/>
      <c r="Z198" s="57"/>
      <c r="AA198" s="57"/>
      <c r="AB198" s="57"/>
      <c r="AC198" s="57"/>
      <c r="AD198" s="45"/>
      <c r="AE198" s="65"/>
      <c r="AF198" s="56"/>
      <c r="AG198" s="57"/>
      <c r="AH198" s="57"/>
      <c r="AI198" s="57"/>
      <c r="AJ198" s="57"/>
      <c r="AK198" s="57"/>
      <c r="AL198" s="57"/>
      <c r="AM198" s="45"/>
      <c r="AN198" s="74"/>
      <c r="AO198" s="45"/>
      <c r="AP198" s="56"/>
      <c r="AQ198" s="57"/>
      <c r="AR198" s="57"/>
      <c r="AS198" s="57"/>
      <c r="AT198" s="57"/>
      <c r="AU198" s="57"/>
      <c r="AV198" s="57"/>
      <c r="AW198" s="45"/>
    </row>
    <row r="199" spans="1:49">
      <c r="A199" s="12" t="str">
        <f>Roster!A199</f>
        <v/>
      </c>
      <c r="B199" s="28">
        <f>Roster!C199</f>
        <v>0</v>
      </c>
      <c r="C199" s="55"/>
      <c r="D199" s="56"/>
      <c r="E199" s="57"/>
      <c r="F199" s="57"/>
      <c r="G199" s="57"/>
      <c r="H199" s="57"/>
      <c r="I199" s="57"/>
      <c r="J199" s="57"/>
      <c r="K199" s="45"/>
      <c r="L199" s="58"/>
      <c r="M199" s="56"/>
      <c r="N199" s="57"/>
      <c r="O199" s="57"/>
      <c r="P199" s="57"/>
      <c r="Q199" s="57"/>
      <c r="R199" s="57"/>
      <c r="S199" s="57"/>
      <c r="T199" s="45"/>
      <c r="U199" s="74"/>
      <c r="V199" s="45"/>
      <c r="W199" s="56"/>
      <c r="X199" s="57"/>
      <c r="Y199" s="57"/>
      <c r="Z199" s="57"/>
      <c r="AA199" s="57"/>
      <c r="AB199" s="57"/>
      <c r="AC199" s="57"/>
      <c r="AD199" s="45"/>
      <c r="AE199" s="65"/>
      <c r="AF199" s="56"/>
      <c r="AG199" s="57"/>
      <c r="AH199" s="57"/>
      <c r="AI199" s="57"/>
      <c r="AJ199" s="57"/>
      <c r="AK199" s="57"/>
      <c r="AL199" s="57"/>
      <c r="AM199" s="45"/>
      <c r="AN199" s="74"/>
      <c r="AO199" s="45"/>
      <c r="AP199" s="56"/>
      <c r="AQ199" s="57"/>
      <c r="AR199" s="57"/>
      <c r="AS199" s="57"/>
      <c r="AT199" s="57"/>
      <c r="AU199" s="57"/>
      <c r="AV199" s="57"/>
      <c r="AW199" s="45"/>
    </row>
    <row r="200" spans="1:49">
      <c r="A200" s="12" t="str">
        <f>Roster!A200</f>
        <v/>
      </c>
      <c r="B200" s="28">
        <f>Roster!C200</f>
        <v>0</v>
      </c>
      <c r="C200" s="55"/>
      <c r="D200" s="56"/>
      <c r="E200" s="57"/>
      <c r="F200" s="57"/>
      <c r="G200" s="57"/>
      <c r="H200" s="57"/>
      <c r="I200" s="57"/>
      <c r="J200" s="57"/>
      <c r="K200" s="45"/>
      <c r="L200" s="58"/>
      <c r="M200" s="56"/>
      <c r="N200" s="57"/>
      <c r="O200" s="57"/>
      <c r="P200" s="57"/>
      <c r="Q200" s="57"/>
      <c r="R200" s="57"/>
      <c r="S200" s="57"/>
      <c r="T200" s="45"/>
      <c r="U200" s="74"/>
      <c r="V200" s="45"/>
      <c r="W200" s="56"/>
      <c r="X200" s="57"/>
      <c r="Y200" s="57"/>
      <c r="Z200" s="57"/>
      <c r="AA200" s="57"/>
      <c r="AB200" s="57"/>
      <c r="AC200" s="57"/>
      <c r="AD200" s="45"/>
      <c r="AE200" s="65"/>
      <c r="AF200" s="56"/>
      <c r="AG200" s="57"/>
      <c r="AH200" s="57"/>
      <c r="AI200" s="57"/>
      <c r="AJ200" s="57"/>
      <c r="AK200" s="57"/>
      <c r="AL200" s="57"/>
      <c r="AM200" s="45"/>
      <c r="AN200" s="74"/>
      <c r="AO200" s="45"/>
      <c r="AP200" s="56"/>
      <c r="AQ200" s="57"/>
      <c r="AR200" s="57"/>
      <c r="AS200" s="57"/>
      <c r="AT200" s="57"/>
      <c r="AU200" s="57"/>
      <c r="AV200" s="57"/>
      <c r="AW200" s="45"/>
    </row>
    <row r="201" spans="1:49">
      <c r="A201" s="12" t="str">
        <f>Roster!A201</f>
        <v/>
      </c>
      <c r="B201" s="28">
        <f>Roster!C201</f>
        <v>0</v>
      </c>
      <c r="C201" s="55"/>
      <c r="D201" s="56"/>
      <c r="E201" s="57"/>
      <c r="F201" s="57"/>
      <c r="G201" s="57"/>
      <c r="H201" s="57"/>
      <c r="I201" s="57"/>
      <c r="J201" s="57"/>
      <c r="K201" s="45"/>
      <c r="L201" s="58"/>
      <c r="M201" s="56"/>
      <c r="N201" s="57"/>
      <c r="O201" s="57"/>
      <c r="P201" s="57"/>
      <c r="Q201" s="57"/>
      <c r="R201" s="57"/>
      <c r="S201" s="57"/>
      <c r="T201" s="45"/>
      <c r="U201" s="74"/>
      <c r="V201" s="45"/>
      <c r="W201" s="56"/>
      <c r="X201" s="57"/>
      <c r="Y201" s="57"/>
      <c r="Z201" s="57"/>
      <c r="AA201" s="57"/>
      <c r="AB201" s="57"/>
      <c r="AC201" s="57"/>
      <c r="AD201" s="45"/>
      <c r="AE201" s="65"/>
      <c r="AF201" s="56"/>
      <c r="AG201" s="57"/>
      <c r="AH201" s="57"/>
      <c r="AI201" s="57"/>
      <c r="AJ201" s="57"/>
      <c r="AK201" s="57"/>
      <c r="AL201" s="57"/>
      <c r="AM201" s="45"/>
      <c r="AN201" s="74"/>
      <c r="AO201" s="45"/>
      <c r="AP201" s="56"/>
      <c r="AQ201" s="57"/>
      <c r="AR201" s="57"/>
      <c r="AS201" s="57"/>
      <c r="AT201" s="57"/>
      <c r="AU201" s="57"/>
      <c r="AV201" s="57"/>
      <c r="AW201" s="45"/>
    </row>
    <row r="202" spans="1:49">
      <c r="A202" s="12" t="str">
        <f>Roster!A202</f>
        <v/>
      </c>
      <c r="B202" s="28">
        <f>Roster!C202</f>
        <v>0</v>
      </c>
      <c r="C202" s="55"/>
      <c r="D202" s="56"/>
      <c r="E202" s="57"/>
      <c r="F202" s="57"/>
      <c r="G202" s="57"/>
      <c r="H202" s="57"/>
      <c r="I202" s="57"/>
      <c r="J202" s="57"/>
      <c r="K202" s="45"/>
      <c r="L202" s="58"/>
      <c r="M202" s="56"/>
      <c r="N202" s="57"/>
      <c r="O202" s="57"/>
      <c r="P202" s="57"/>
      <c r="Q202" s="57"/>
      <c r="R202" s="57"/>
      <c r="S202" s="57"/>
      <c r="T202" s="45"/>
      <c r="U202" s="76"/>
      <c r="V202" s="45"/>
      <c r="W202" s="57"/>
      <c r="X202" s="57"/>
      <c r="Y202" s="57"/>
      <c r="Z202" s="57"/>
      <c r="AA202" s="57"/>
      <c r="AB202" s="57"/>
      <c r="AC202" s="57"/>
      <c r="AD202" s="57"/>
      <c r="AE202" s="71"/>
      <c r="AF202" s="57"/>
      <c r="AG202" s="57"/>
      <c r="AH202" s="57"/>
      <c r="AI202" s="57"/>
      <c r="AJ202" s="57"/>
      <c r="AK202" s="57"/>
      <c r="AL202" s="57"/>
      <c r="AM202" s="57"/>
      <c r="AN202" s="76"/>
      <c r="AO202" s="45"/>
      <c r="AP202" s="57"/>
      <c r="AQ202" s="57"/>
      <c r="AR202" s="57"/>
      <c r="AS202" s="57"/>
      <c r="AT202" s="57"/>
      <c r="AU202" s="57"/>
      <c r="AV202" s="57"/>
      <c r="AW202" s="57"/>
    </row>
    <row r="203" spans="1:49">
      <c r="A203" s="12" t="str">
        <f>Roster!A203</f>
        <v/>
      </c>
      <c r="B203" s="28">
        <f>Roster!C203</f>
        <v>0</v>
      </c>
      <c r="C203" s="55"/>
      <c r="D203" s="56"/>
      <c r="E203" s="57"/>
      <c r="F203" s="57"/>
      <c r="G203" s="57"/>
      <c r="H203" s="57"/>
      <c r="I203" s="57"/>
      <c r="J203" s="57"/>
      <c r="K203" s="45"/>
      <c r="L203" s="58"/>
      <c r="M203" s="56"/>
      <c r="N203" s="57"/>
      <c r="O203" s="57"/>
      <c r="P203" s="57"/>
      <c r="Q203" s="57"/>
      <c r="R203" s="57"/>
      <c r="S203" s="57"/>
      <c r="T203" s="45"/>
      <c r="U203" s="76"/>
      <c r="V203" s="45"/>
      <c r="W203" s="57"/>
      <c r="X203" s="57"/>
      <c r="Y203" s="57"/>
      <c r="Z203" s="57"/>
      <c r="AA203" s="57"/>
      <c r="AB203" s="57"/>
      <c r="AC203" s="57"/>
      <c r="AD203" s="57"/>
      <c r="AE203" s="71"/>
      <c r="AF203" s="57"/>
      <c r="AG203" s="57"/>
      <c r="AH203" s="57"/>
      <c r="AI203" s="57"/>
      <c r="AJ203" s="57"/>
      <c r="AK203" s="57"/>
      <c r="AL203" s="57"/>
      <c r="AM203" s="57"/>
      <c r="AN203" s="76"/>
      <c r="AO203" s="45"/>
      <c r="AP203" s="57"/>
      <c r="AQ203" s="57"/>
      <c r="AR203" s="57"/>
      <c r="AS203" s="57"/>
      <c r="AT203" s="57"/>
      <c r="AU203" s="57"/>
      <c r="AV203" s="57"/>
      <c r="AW203" s="57"/>
    </row>
    <row r="204" spans="1:49">
      <c r="A204" s="12" t="str">
        <f>Roster!A204</f>
        <v/>
      </c>
      <c r="B204" s="28">
        <f>Roster!C204</f>
        <v>0</v>
      </c>
      <c r="C204" s="55"/>
      <c r="D204" s="56"/>
      <c r="E204" s="57"/>
      <c r="F204" s="57"/>
      <c r="G204" s="57"/>
      <c r="H204" s="57"/>
      <c r="I204" s="57"/>
      <c r="J204" s="57"/>
      <c r="K204" s="45"/>
      <c r="L204" s="58"/>
      <c r="M204" s="56"/>
      <c r="N204" s="57"/>
      <c r="O204" s="57"/>
      <c r="P204" s="57"/>
      <c r="Q204" s="57"/>
      <c r="R204" s="57"/>
      <c r="S204" s="57"/>
      <c r="T204" s="45"/>
      <c r="U204" s="76"/>
      <c r="V204" s="45"/>
      <c r="W204" s="57"/>
      <c r="X204" s="57"/>
      <c r="Y204" s="57"/>
      <c r="Z204" s="57"/>
      <c r="AA204" s="57"/>
      <c r="AB204" s="57"/>
      <c r="AC204" s="57"/>
      <c r="AD204" s="57"/>
      <c r="AE204" s="71"/>
      <c r="AF204" s="57"/>
      <c r="AG204" s="57"/>
      <c r="AH204" s="57"/>
      <c r="AI204" s="57"/>
      <c r="AJ204" s="57"/>
      <c r="AK204" s="57"/>
      <c r="AL204" s="57"/>
      <c r="AM204" s="57"/>
      <c r="AN204" s="76"/>
      <c r="AO204" s="45"/>
      <c r="AP204" s="57"/>
      <c r="AQ204" s="57"/>
      <c r="AR204" s="57"/>
      <c r="AS204" s="57"/>
      <c r="AT204" s="57"/>
      <c r="AU204" s="57"/>
      <c r="AV204" s="57"/>
      <c r="AW204" s="57"/>
    </row>
    <row r="205" spans="1:49">
      <c r="A205" s="12" t="str">
        <f>Roster!A205</f>
        <v/>
      </c>
      <c r="B205" s="28">
        <f>Roster!C205</f>
        <v>0</v>
      </c>
      <c r="C205" s="55"/>
      <c r="D205" s="56"/>
      <c r="E205" s="57"/>
      <c r="F205" s="57"/>
      <c r="G205" s="57"/>
      <c r="H205" s="57"/>
      <c r="I205" s="57"/>
      <c r="J205" s="57"/>
      <c r="K205" s="45"/>
      <c r="L205" s="58"/>
      <c r="M205" s="56"/>
      <c r="N205" s="57"/>
      <c r="O205" s="57"/>
      <c r="P205" s="57"/>
      <c r="Q205" s="57"/>
      <c r="R205" s="57"/>
      <c r="S205" s="57"/>
      <c r="T205" s="45"/>
      <c r="U205" s="76"/>
      <c r="V205" s="45"/>
      <c r="W205" s="57"/>
      <c r="X205" s="57"/>
      <c r="Y205" s="57"/>
      <c r="Z205" s="57"/>
      <c r="AA205" s="57"/>
      <c r="AB205" s="57"/>
      <c r="AC205" s="57"/>
      <c r="AD205" s="57"/>
      <c r="AE205" s="71"/>
      <c r="AF205" s="57"/>
      <c r="AG205" s="57"/>
      <c r="AH205" s="57"/>
      <c r="AI205" s="57"/>
      <c r="AJ205" s="57"/>
      <c r="AK205" s="57"/>
      <c r="AL205" s="57"/>
      <c r="AM205" s="57"/>
      <c r="AN205" s="76"/>
      <c r="AO205" s="45"/>
      <c r="AP205" s="57"/>
      <c r="AQ205" s="57"/>
      <c r="AR205" s="57"/>
      <c r="AS205" s="57"/>
      <c r="AT205" s="57"/>
      <c r="AU205" s="57"/>
      <c r="AV205" s="57"/>
      <c r="AW205" s="57"/>
    </row>
    <row r="206" spans="1:49">
      <c r="A206" s="12" t="str">
        <f>Roster!A206</f>
        <v/>
      </c>
      <c r="B206" s="28">
        <f>Roster!C206</f>
        <v>0</v>
      </c>
      <c r="C206" s="55"/>
      <c r="D206" s="56"/>
      <c r="E206" s="57"/>
      <c r="F206" s="57"/>
      <c r="G206" s="57"/>
      <c r="H206" s="57"/>
      <c r="I206" s="57"/>
      <c r="J206" s="57"/>
      <c r="K206" s="45"/>
      <c r="L206" s="58"/>
      <c r="M206" s="56"/>
      <c r="N206" s="57"/>
      <c r="O206" s="57"/>
      <c r="P206" s="57"/>
      <c r="Q206" s="57"/>
      <c r="R206" s="57"/>
      <c r="S206" s="57"/>
      <c r="T206" s="45"/>
      <c r="U206" s="76"/>
      <c r="V206" s="45"/>
      <c r="W206" s="57"/>
      <c r="X206" s="57"/>
      <c r="Y206" s="57"/>
      <c r="Z206" s="57"/>
      <c r="AA206" s="57"/>
      <c r="AB206" s="57"/>
      <c r="AC206" s="57"/>
      <c r="AD206" s="57"/>
      <c r="AE206" s="71"/>
      <c r="AF206" s="57"/>
      <c r="AG206" s="57"/>
      <c r="AH206" s="57"/>
      <c r="AI206" s="57"/>
      <c r="AJ206" s="57"/>
      <c r="AK206" s="57"/>
      <c r="AL206" s="57"/>
      <c r="AM206" s="57"/>
      <c r="AN206" s="76"/>
      <c r="AO206" s="45"/>
      <c r="AP206" s="57"/>
      <c r="AQ206" s="57"/>
      <c r="AR206" s="57"/>
      <c r="AS206" s="57"/>
      <c r="AT206" s="57"/>
      <c r="AU206" s="57"/>
      <c r="AV206" s="57"/>
      <c r="AW206" s="57"/>
    </row>
    <row r="207" spans="1:49">
      <c r="A207" s="12" t="str">
        <f>Roster!A207</f>
        <v/>
      </c>
      <c r="B207" s="28">
        <f>Roster!C207</f>
        <v>0</v>
      </c>
      <c r="C207" s="55"/>
      <c r="D207" s="56"/>
      <c r="E207" s="57"/>
      <c r="F207" s="57"/>
      <c r="G207" s="57"/>
      <c r="H207" s="57"/>
      <c r="I207" s="57"/>
      <c r="J207" s="57"/>
      <c r="K207" s="45"/>
      <c r="L207" s="58"/>
      <c r="M207" s="56"/>
      <c r="N207" s="57"/>
      <c r="O207" s="57"/>
      <c r="P207" s="57"/>
      <c r="Q207" s="57"/>
      <c r="R207" s="57"/>
      <c r="S207" s="57"/>
      <c r="T207" s="45"/>
      <c r="U207" s="76"/>
      <c r="V207" s="45"/>
      <c r="W207" s="57"/>
      <c r="X207" s="57"/>
      <c r="Y207" s="57"/>
      <c r="Z207" s="57"/>
      <c r="AA207" s="57"/>
      <c r="AB207" s="57"/>
      <c r="AC207" s="57"/>
      <c r="AD207" s="57"/>
      <c r="AE207" s="71"/>
      <c r="AF207" s="57"/>
      <c r="AG207" s="57"/>
      <c r="AH207" s="57"/>
      <c r="AI207" s="57"/>
      <c r="AJ207" s="57"/>
      <c r="AK207" s="57"/>
      <c r="AL207" s="57"/>
      <c r="AM207" s="57"/>
      <c r="AN207" s="76"/>
      <c r="AO207" s="45"/>
      <c r="AP207" s="57"/>
      <c r="AQ207" s="57"/>
      <c r="AR207" s="57"/>
      <c r="AS207" s="57"/>
      <c r="AT207" s="57"/>
      <c r="AU207" s="57"/>
      <c r="AV207" s="57"/>
      <c r="AW207" s="57"/>
    </row>
    <row r="208" spans="1:49">
      <c r="A208" s="12" t="str">
        <f>Roster!A208</f>
        <v/>
      </c>
      <c r="B208" s="28">
        <f>Roster!C208</f>
        <v>0</v>
      </c>
      <c r="C208" s="55"/>
      <c r="D208" s="56"/>
      <c r="E208" s="57"/>
      <c r="F208" s="57"/>
      <c r="G208" s="57"/>
      <c r="H208" s="57"/>
      <c r="I208" s="57"/>
      <c r="J208" s="57"/>
      <c r="K208" s="45"/>
      <c r="L208" s="58"/>
      <c r="M208" s="56"/>
      <c r="N208" s="57"/>
      <c r="O208" s="57"/>
      <c r="P208" s="57"/>
      <c r="Q208" s="57"/>
      <c r="R208" s="57"/>
      <c r="S208" s="57"/>
      <c r="T208" s="45"/>
      <c r="U208" s="76"/>
      <c r="V208" s="45"/>
      <c r="W208" s="57"/>
      <c r="X208" s="57"/>
      <c r="Y208" s="57"/>
      <c r="Z208" s="57"/>
      <c r="AA208" s="57"/>
      <c r="AB208" s="57"/>
      <c r="AC208" s="57"/>
      <c r="AD208" s="57"/>
      <c r="AE208" s="71"/>
      <c r="AF208" s="57"/>
      <c r="AG208" s="57"/>
      <c r="AH208" s="57"/>
      <c r="AI208" s="57"/>
      <c r="AJ208" s="57"/>
      <c r="AK208" s="57"/>
      <c r="AL208" s="57"/>
      <c r="AM208" s="57"/>
      <c r="AN208" s="76"/>
      <c r="AO208" s="45"/>
      <c r="AP208" s="57"/>
      <c r="AQ208" s="57"/>
      <c r="AR208" s="57"/>
      <c r="AS208" s="57"/>
      <c r="AT208" s="57"/>
      <c r="AU208" s="57"/>
      <c r="AV208" s="57"/>
      <c r="AW208" s="57"/>
    </row>
    <row r="209" spans="1:49">
      <c r="A209" s="12" t="str">
        <f>Roster!A209</f>
        <v/>
      </c>
      <c r="B209" s="28">
        <f>Roster!C209</f>
        <v>0</v>
      </c>
      <c r="C209" s="55"/>
      <c r="D209" s="56"/>
      <c r="E209" s="57"/>
      <c r="F209" s="57"/>
      <c r="G209" s="57"/>
      <c r="H209" s="57"/>
      <c r="I209" s="57"/>
      <c r="J209" s="57"/>
      <c r="K209" s="45"/>
      <c r="L209" s="58"/>
      <c r="M209" s="56"/>
      <c r="N209" s="57"/>
      <c r="O209" s="57"/>
      <c r="P209" s="57"/>
      <c r="Q209" s="57"/>
      <c r="R209" s="57"/>
      <c r="S209" s="57"/>
      <c r="T209" s="45"/>
      <c r="U209" s="76"/>
      <c r="V209" s="45"/>
      <c r="W209" s="57"/>
      <c r="X209" s="57"/>
      <c r="Y209" s="57"/>
      <c r="Z209" s="57"/>
      <c r="AA209" s="57"/>
      <c r="AB209" s="57"/>
      <c r="AC209" s="57"/>
      <c r="AD209" s="57"/>
      <c r="AE209" s="71"/>
      <c r="AF209" s="57"/>
      <c r="AG209" s="57"/>
      <c r="AH209" s="57"/>
      <c r="AI209" s="57"/>
      <c r="AJ209" s="57"/>
      <c r="AK209" s="57"/>
      <c r="AL209" s="57"/>
      <c r="AM209" s="57"/>
      <c r="AN209" s="76"/>
      <c r="AO209" s="45"/>
      <c r="AP209" s="57"/>
      <c r="AQ209" s="57"/>
      <c r="AR209" s="57"/>
      <c r="AS209" s="57"/>
      <c r="AT209" s="57"/>
      <c r="AU209" s="57"/>
      <c r="AV209" s="57"/>
      <c r="AW209" s="57"/>
    </row>
    <row r="210" spans="1:49">
      <c r="A210" s="12" t="str">
        <f>Roster!A210</f>
        <v/>
      </c>
      <c r="B210" s="28">
        <f>Roster!C210</f>
        <v>0</v>
      </c>
      <c r="C210" s="55"/>
      <c r="D210" s="56"/>
      <c r="E210" s="57"/>
      <c r="F210" s="57"/>
      <c r="G210" s="57"/>
      <c r="H210" s="57"/>
      <c r="I210" s="57"/>
      <c r="J210" s="57"/>
      <c r="K210" s="45"/>
      <c r="L210" s="58"/>
      <c r="M210" s="56"/>
      <c r="N210" s="57"/>
      <c r="O210" s="57"/>
      <c r="P210" s="57"/>
      <c r="Q210" s="57"/>
      <c r="R210" s="57"/>
      <c r="S210" s="57"/>
      <c r="T210" s="45"/>
      <c r="U210" s="76"/>
      <c r="V210" s="45"/>
      <c r="W210" s="57"/>
      <c r="X210" s="57"/>
      <c r="Y210" s="57"/>
      <c r="Z210" s="57"/>
      <c r="AA210" s="57"/>
      <c r="AB210" s="57"/>
      <c r="AC210" s="57"/>
      <c r="AD210" s="57"/>
      <c r="AE210" s="71"/>
      <c r="AF210" s="57"/>
      <c r="AG210" s="57"/>
      <c r="AH210" s="57"/>
      <c r="AI210" s="57"/>
      <c r="AJ210" s="57"/>
      <c r="AK210" s="57"/>
      <c r="AL210" s="57"/>
      <c r="AM210" s="57"/>
      <c r="AN210" s="76"/>
      <c r="AO210" s="45"/>
      <c r="AP210" s="57"/>
      <c r="AQ210" s="57"/>
      <c r="AR210" s="57"/>
      <c r="AS210" s="57"/>
      <c r="AT210" s="57"/>
      <c r="AU210" s="57"/>
      <c r="AV210" s="57"/>
      <c r="AW210" s="57"/>
    </row>
    <row r="211" spans="1:49">
      <c r="A211" s="12" t="str">
        <f>Roster!A211</f>
        <v/>
      </c>
      <c r="B211" s="28">
        <f>Roster!C211</f>
        <v>0</v>
      </c>
      <c r="C211" s="55"/>
      <c r="D211" s="56"/>
      <c r="E211" s="57"/>
      <c r="F211" s="57"/>
      <c r="G211" s="57"/>
      <c r="H211" s="57"/>
      <c r="I211" s="57"/>
      <c r="J211" s="57"/>
      <c r="K211" s="45"/>
      <c r="L211" s="58"/>
      <c r="M211" s="56"/>
      <c r="N211" s="57"/>
      <c r="O211" s="57"/>
      <c r="P211" s="57"/>
      <c r="Q211" s="57"/>
      <c r="R211" s="57"/>
      <c r="S211" s="57"/>
      <c r="T211" s="45"/>
      <c r="U211" s="76"/>
      <c r="V211" s="45"/>
      <c r="W211" s="57"/>
      <c r="X211" s="57"/>
      <c r="Y211" s="57"/>
      <c r="Z211" s="57"/>
      <c r="AA211" s="57"/>
      <c r="AB211" s="57"/>
      <c r="AC211" s="57"/>
      <c r="AD211" s="57"/>
      <c r="AE211" s="71"/>
      <c r="AF211" s="57"/>
      <c r="AG211" s="57"/>
      <c r="AH211" s="57"/>
      <c r="AI211" s="57"/>
      <c r="AJ211" s="57"/>
      <c r="AK211" s="57"/>
      <c r="AL211" s="57"/>
      <c r="AM211" s="57"/>
      <c r="AN211" s="76"/>
      <c r="AO211" s="45"/>
      <c r="AP211" s="57"/>
      <c r="AQ211" s="57"/>
      <c r="AR211" s="57"/>
      <c r="AS211" s="57"/>
      <c r="AT211" s="57"/>
      <c r="AU211" s="57"/>
      <c r="AV211" s="57"/>
      <c r="AW211" s="57"/>
    </row>
    <row r="212" spans="1:49">
      <c r="A212" s="12" t="str">
        <f>Roster!A212</f>
        <v/>
      </c>
      <c r="B212" s="28">
        <f>Roster!C212</f>
        <v>0</v>
      </c>
      <c r="C212" s="55"/>
      <c r="D212" s="56"/>
      <c r="E212" s="57"/>
      <c r="F212" s="57"/>
      <c r="G212" s="57"/>
      <c r="H212" s="57"/>
      <c r="I212" s="57"/>
      <c r="J212" s="57"/>
      <c r="K212" s="45"/>
      <c r="L212" s="58"/>
      <c r="M212" s="56"/>
      <c r="N212" s="57"/>
      <c r="O212" s="57"/>
      <c r="P212" s="57"/>
      <c r="Q212" s="57"/>
      <c r="R212" s="57"/>
      <c r="S212" s="57"/>
      <c r="T212" s="45"/>
      <c r="U212" s="76"/>
      <c r="V212" s="45"/>
      <c r="W212" s="57"/>
      <c r="X212" s="57"/>
      <c r="Y212" s="57"/>
      <c r="Z212" s="57"/>
      <c r="AA212" s="57"/>
      <c r="AB212" s="57"/>
      <c r="AC212" s="57"/>
      <c r="AD212" s="57"/>
      <c r="AE212" s="71"/>
      <c r="AF212" s="57"/>
      <c r="AG212" s="57"/>
      <c r="AH212" s="57"/>
      <c r="AI212" s="57"/>
      <c r="AJ212" s="57"/>
      <c r="AK212" s="57"/>
      <c r="AL212" s="57"/>
      <c r="AM212" s="57"/>
      <c r="AN212" s="76"/>
      <c r="AO212" s="45"/>
      <c r="AP212" s="57"/>
      <c r="AQ212" s="57"/>
      <c r="AR212" s="57"/>
      <c r="AS212" s="57"/>
      <c r="AT212" s="57"/>
      <c r="AU212" s="57"/>
      <c r="AV212" s="57"/>
      <c r="AW212" s="57"/>
    </row>
    <row r="213" spans="1:49">
      <c r="A213" s="12" t="str">
        <f>Roster!A213</f>
        <v/>
      </c>
      <c r="B213" s="28">
        <f>Roster!C213</f>
        <v>0</v>
      </c>
      <c r="C213" s="55"/>
      <c r="D213" s="56"/>
      <c r="E213" s="57"/>
      <c r="F213" s="57"/>
      <c r="G213" s="57"/>
      <c r="H213" s="57"/>
      <c r="I213" s="57"/>
      <c r="J213" s="57"/>
      <c r="K213" s="45"/>
      <c r="L213" s="58"/>
      <c r="M213" s="56"/>
      <c r="N213" s="57"/>
      <c r="O213" s="57"/>
      <c r="P213" s="57"/>
      <c r="Q213" s="57"/>
      <c r="R213" s="57"/>
      <c r="S213" s="57"/>
      <c r="T213" s="45"/>
      <c r="U213" s="76"/>
      <c r="V213" s="45"/>
      <c r="W213" s="57"/>
      <c r="X213" s="57"/>
      <c r="Y213" s="57"/>
      <c r="Z213" s="57"/>
      <c r="AA213" s="57"/>
      <c r="AB213" s="57"/>
      <c r="AC213" s="57"/>
      <c r="AD213" s="57"/>
      <c r="AE213" s="71"/>
      <c r="AF213" s="57"/>
      <c r="AG213" s="57"/>
      <c r="AH213" s="57"/>
      <c r="AI213" s="57"/>
      <c r="AJ213" s="57"/>
      <c r="AK213" s="57"/>
      <c r="AL213" s="57"/>
      <c r="AM213" s="57"/>
      <c r="AN213" s="76"/>
      <c r="AO213" s="45"/>
      <c r="AP213" s="57"/>
      <c r="AQ213" s="57"/>
      <c r="AR213" s="57"/>
      <c r="AS213" s="57"/>
      <c r="AT213" s="57"/>
      <c r="AU213" s="57"/>
      <c r="AV213" s="57"/>
      <c r="AW213" s="57"/>
    </row>
    <row r="214" spans="1:49">
      <c r="A214" s="12" t="str">
        <f>Roster!A214</f>
        <v/>
      </c>
      <c r="B214" s="28">
        <f>Roster!C214</f>
        <v>0</v>
      </c>
      <c r="C214" s="55"/>
      <c r="D214" s="56"/>
      <c r="E214" s="57"/>
      <c r="F214" s="57"/>
      <c r="G214" s="57"/>
      <c r="H214" s="57"/>
      <c r="I214" s="57"/>
      <c r="J214" s="57"/>
      <c r="K214" s="45"/>
      <c r="L214" s="58"/>
      <c r="M214" s="56"/>
      <c r="N214" s="57"/>
      <c r="O214" s="57"/>
      <c r="P214" s="57"/>
      <c r="Q214" s="57"/>
      <c r="R214" s="57"/>
      <c r="S214" s="57"/>
      <c r="T214" s="45"/>
      <c r="U214" s="76"/>
      <c r="V214" s="45"/>
      <c r="W214" s="57"/>
      <c r="X214" s="57"/>
      <c r="Y214" s="57"/>
      <c r="Z214" s="57"/>
      <c r="AA214" s="57"/>
      <c r="AB214" s="57"/>
      <c r="AC214" s="57"/>
      <c r="AD214" s="57"/>
      <c r="AE214" s="71"/>
      <c r="AF214" s="57"/>
      <c r="AG214" s="57"/>
      <c r="AH214" s="57"/>
      <c r="AI214" s="57"/>
      <c r="AJ214" s="57"/>
      <c r="AK214" s="57"/>
      <c r="AL214" s="57"/>
      <c r="AM214" s="57"/>
      <c r="AN214" s="76"/>
      <c r="AO214" s="45"/>
      <c r="AP214" s="57"/>
      <c r="AQ214" s="57"/>
      <c r="AR214" s="57"/>
      <c r="AS214" s="57"/>
      <c r="AT214" s="57"/>
      <c r="AU214" s="57"/>
      <c r="AV214" s="57"/>
      <c r="AW214" s="57"/>
    </row>
    <row r="215" spans="1:49">
      <c r="A215" s="12" t="str">
        <f>Roster!A215</f>
        <v/>
      </c>
      <c r="B215" s="28">
        <f>Roster!C215</f>
        <v>0</v>
      </c>
      <c r="C215" s="55"/>
      <c r="D215" s="56"/>
      <c r="E215" s="57"/>
      <c r="F215" s="57"/>
      <c r="G215" s="57"/>
      <c r="H215" s="57"/>
      <c r="I215" s="57"/>
      <c r="J215" s="57"/>
      <c r="K215" s="45"/>
      <c r="L215" s="58"/>
      <c r="M215" s="56"/>
      <c r="N215" s="57"/>
      <c r="O215" s="57"/>
      <c r="P215" s="57"/>
      <c r="Q215" s="57"/>
      <c r="R215" s="57"/>
      <c r="S215" s="57"/>
      <c r="T215" s="45"/>
      <c r="U215" s="76"/>
      <c r="V215" s="45"/>
      <c r="W215" s="57"/>
      <c r="X215" s="57"/>
      <c r="Y215" s="57"/>
      <c r="Z215" s="57"/>
      <c r="AA215" s="57"/>
      <c r="AB215" s="57"/>
      <c r="AC215" s="57"/>
      <c r="AD215" s="57"/>
      <c r="AE215" s="71"/>
      <c r="AF215" s="57"/>
      <c r="AG215" s="57"/>
      <c r="AH215" s="57"/>
      <c r="AI215" s="57"/>
      <c r="AJ215" s="57"/>
      <c r="AK215" s="57"/>
      <c r="AL215" s="57"/>
      <c r="AM215" s="57"/>
      <c r="AN215" s="76"/>
      <c r="AO215" s="45"/>
      <c r="AP215" s="57"/>
      <c r="AQ215" s="57"/>
      <c r="AR215" s="57"/>
      <c r="AS215" s="57"/>
      <c r="AT215" s="57"/>
      <c r="AU215" s="57"/>
      <c r="AV215" s="57"/>
      <c r="AW215" s="57"/>
    </row>
    <row r="216" spans="1:49">
      <c r="A216" s="12" t="str">
        <f>Roster!A216</f>
        <v/>
      </c>
      <c r="B216" s="28">
        <f>Roster!C216</f>
        <v>0</v>
      </c>
      <c r="C216" s="55"/>
      <c r="D216" s="56"/>
      <c r="E216" s="57"/>
      <c r="F216" s="57"/>
      <c r="G216" s="57"/>
      <c r="H216" s="57"/>
      <c r="I216" s="57"/>
      <c r="J216" s="57"/>
      <c r="K216" s="45"/>
      <c r="L216" s="58"/>
      <c r="M216" s="56"/>
      <c r="N216" s="57"/>
      <c r="O216" s="57"/>
      <c r="P216" s="57"/>
      <c r="Q216" s="57"/>
      <c r="R216" s="57"/>
      <c r="S216" s="57"/>
      <c r="T216" s="45"/>
      <c r="U216" s="76"/>
      <c r="V216" s="45"/>
      <c r="W216" s="57"/>
      <c r="X216" s="57"/>
      <c r="Y216" s="57"/>
      <c r="Z216" s="57"/>
      <c r="AA216" s="57"/>
      <c r="AB216" s="57"/>
      <c r="AC216" s="57"/>
      <c r="AD216" s="57"/>
      <c r="AE216" s="71"/>
      <c r="AF216" s="57"/>
      <c r="AG216" s="57"/>
      <c r="AH216" s="57"/>
      <c r="AI216" s="57"/>
      <c r="AJ216" s="57"/>
      <c r="AK216" s="57"/>
      <c r="AL216" s="57"/>
      <c r="AM216" s="57"/>
      <c r="AN216" s="76"/>
      <c r="AO216" s="45"/>
      <c r="AP216" s="57"/>
      <c r="AQ216" s="57"/>
      <c r="AR216" s="57"/>
      <c r="AS216" s="57"/>
      <c r="AT216" s="57"/>
      <c r="AU216" s="57"/>
      <c r="AV216" s="57"/>
      <c r="AW216" s="57"/>
    </row>
    <row r="217" spans="1:49">
      <c r="A217" s="12" t="str">
        <f>Roster!A217</f>
        <v/>
      </c>
      <c r="B217" s="28">
        <f>Roster!C217</f>
        <v>0</v>
      </c>
      <c r="C217" s="55"/>
      <c r="D217" s="56"/>
      <c r="E217" s="57"/>
      <c r="F217" s="57"/>
      <c r="G217" s="57"/>
      <c r="H217" s="57"/>
      <c r="I217" s="57"/>
      <c r="J217" s="57"/>
      <c r="K217" s="45"/>
      <c r="L217" s="58"/>
      <c r="M217" s="56"/>
      <c r="N217" s="57"/>
      <c r="O217" s="57"/>
      <c r="P217" s="57"/>
      <c r="Q217" s="57"/>
      <c r="R217" s="57"/>
      <c r="S217" s="57"/>
      <c r="T217" s="45"/>
      <c r="U217" s="76"/>
      <c r="V217" s="45"/>
      <c r="W217" s="57"/>
      <c r="X217" s="57"/>
      <c r="Y217" s="57"/>
      <c r="Z217" s="57"/>
      <c r="AA217" s="57"/>
      <c r="AB217" s="57"/>
      <c r="AC217" s="57"/>
      <c r="AD217" s="57"/>
      <c r="AE217" s="71"/>
      <c r="AF217" s="57"/>
      <c r="AG217" s="57"/>
      <c r="AH217" s="57"/>
      <c r="AI217" s="57"/>
      <c r="AJ217" s="57"/>
      <c r="AK217" s="57"/>
      <c r="AL217" s="57"/>
      <c r="AM217" s="57"/>
      <c r="AN217" s="76"/>
      <c r="AO217" s="45"/>
      <c r="AP217" s="57"/>
      <c r="AQ217" s="57"/>
      <c r="AR217" s="57"/>
      <c r="AS217" s="57"/>
      <c r="AT217" s="57"/>
      <c r="AU217" s="57"/>
      <c r="AV217" s="57"/>
      <c r="AW217" s="57"/>
    </row>
    <row r="218" spans="1:49">
      <c r="A218" s="12" t="str">
        <f>Roster!A218</f>
        <v/>
      </c>
      <c r="B218" s="28">
        <f>Roster!C218</f>
        <v>0</v>
      </c>
      <c r="C218" s="55"/>
      <c r="D218" s="56"/>
      <c r="E218" s="57"/>
      <c r="F218" s="57"/>
      <c r="G218" s="57"/>
      <c r="H218" s="57"/>
      <c r="I218" s="57"/>
      <c r="J218" s="57"/>
      <c r="K218" s="45"/>
      <c r="L218" s="58"/>
      <c r="M218" s="56"/>
      <c r="N218" s="57"/>
      <c r="O218" s="57"/>
      <c r="P218" s="57"/>
      <c r="Q218" s="57"/>
      <c r="R218" s="57"/>
      <c r="S218" s="57"/>
      <c r="T218" s="45"/>
      <c r="U218" s="76"/>
      <c r="V218" s="45"/>
      <c r="W218" s="57"/>
      <c r="X218" s="57"/>
      <c r="Y218" s="57"/>
      <c r="Z218" s="57"/>
      <c r="AA218" s="57"/>
      <c r="AB218" s="57"/>
      <c r="AC218" s="57"/>
      <c r="AD218" s="57"/>
      <c r="AE218" s="71"/>
      <c r="AF218" s="57"/>
      <c r="AG218" s="57"/>
      <c r="AH218" s="57"/>
      <c r="AI218" s="57"/>
      <c r="AJ218" s="57"/>
      <c r="AK218" s="57"/>
      <c r="AL218" s="57"/>
      <c r="AM218" s="57"/>
      <c r="AN218" s="76"/>
      <c r="AO218" s="45"/>
      <c r="AP218" s="57"/>
      <c r="AQ218" s="57"/>
      <c r="AR218" s="57"/>
      <c r="AS218" s="57"/>
      <c r="AT218" s="57"/>
      <c r="AU218" s="57"/>
      <c r="AV218" s="57"/>
      <c r="AW218" s="57"/>
    </row>
    <row r="219" spans="1:49">
      <c r="A219" s="12" t="str">
        <f>Roster!A219</f>
        <v/>
      </c>
      <c r="B219" s="28">
        <f>Roster!C219</f>
        <v>0</v>
      </c>
      <c r="C219" s="55"/>
      <c r="D219" s="56"/>
      <c r="E219" s="57"/>
      <c r="F219" s="57"/>
      <c r="G219" s="57"/>
      <c r="H219" s="57"/>
      <c r="I219" s="57"/>
      <c r="J219" s="57"/>
      <c r="K219" s="45"/>
      <c r="L219" s="58"/>
      <c r="M219" s="56"/>
      <c r="N219" s="57"/>
      <c r="O219" s="57"/>
      <c r="P219" s="57"/>
      <c r="Q219" s="57"/>
      <c r="R219" s="57"/>
      <c r="S219" s="57"/>
      <c r="T219" s="45"/>
      <c r="U219" s="76"/>
      <c r="V219" s="45"/>
      <c r="W219" s="57"/>
      <c r="X219" s="57"/>
      <c r="Y219" s="57"/>
      <c r="Z219" s="57"/>
      <c r="AA219" s="57"/>
      <c r="AB219" s="57"/>
      <c r="AC219" s="57"/>
      <c r="AD219" s="57"/>
      <c r="AE219" s="71"/>
      <c r="AF219" s="57"/>
      <c r="AG219" s="57"/>
      <c r="AH219" s="57"/>
      <c r="AI219" s="57"/>
      <c r="AJ219" s="57"/>
      <c r="AK219" s="57"/>
      <c r="AL219" s="57"/>
      <c r="AM219" s="57"/>
      <c r="AN219" s="76"/>
      <c r="AO219" s="45"/>
      <c r="AP219" s="57"/>
      <c r="AQ219" s="57"/>
      <c r="AR219" s="57"/>
      <c r="AS219" s="57"/>
      <c r="AT219" s="57"/>
      <c r="AU219" s="57"/>
      <c r="AV219" s="57"/>
      <c r="AW219" s="57"/>
    </row>
    <row r="220" spans="1:49">
      <c r="A220" s="12" t="str">
        <f>Roster!A220</f>
        <v/>
      </c>
      <c r="B220" s="28">
        <f>Roster!C220</f>
        <v>0</v>
      </c>
      <c r="C220" s="55"/>
      <c r="D220" s="56"/>
      <c r="E220" s="57"/>
      <c r="F220" s="57"/>
      <c r="G220" s="57"/>
      <c r="H220" s="57"/>
      <c r="I220" s="57"/>
      <c r="J220" s="57"/>
      <c r="K220" s="45"/>
      <c r="L220" s="58"/>
      <c r="M220" s="56"/>
      <c r="N220" s="57"/>
      <c r="O220" s="57"/>
      <c r="P220" s="57"/>
      <c r="Q220" s="57"/>
      <c r="R220" s="57"/>
      <c r="S220" s="57"/>
      <c r="T220" s="45"/>
      <c r="U220" s="76"/>
      <c r="V220" s="45"/>
      <c r="W220" s="57"/>
      <c r="X220" s="57"/>
      <c r="Y220" s="57"/>
      <c r="Z220" s="57"/>
      <c r="AA220" s="57"/>
      <c r="AB220" s="57"/>
      <c r="AC220" s="57"/>
      <c r="AD220" s="57"/>
      <c r="AE220" s="71"/>
      <c r="AF220" s="57"/>
      <c r="AG220" s="57"/>
      <c r="AH220" s="57"/>
      <c r="AI220" s="57"/>
      <c r="AJ220" s="57"/>
      <c r="AK220" s="57"/>
      <c r="AL220" s="57"/>
      <c r="AM220" s="57"/>
      <c r="AN220" s="76"/>
      <c r="AO220" s="45"/>
      <c r="AP220" s="57"/>
      <c r="AQ220" s="57"/>
      <c r="AR220" s="57"/>
      <c r="AS220" s="57"/>
      <c r="AT220" s="57"/>
      <c r="AU220" s="57"/>
      <c r="AV220" s="57"/>
      <c r="AW220" s="57"/>
    </row>
    <row r="221" spans="1:49">
      <c r="A221" s="12" t="str">
        <f>Roster!A221</f>
        <v/>
      </c>
      <c r="B221" s="28">
        <f>Roster!C221</f>
        <v>0</v>
      </c>
      <c r="C221" s="55"/>
      <c r="D221" s="56"/>
      <c r="E221" s="57"/>
      <c r="F221" s="57"/>
      <c r="G221" s="57"/>
      <c r="H221" s="57"/>
      <c r="I221" s="57"/>
      <c r="J221" s="57"/>
      <c r="K221" s="45"/>
      <c r="L221" s="58"/>
      <c r="M221" s="56"/>
      <c r="N221" s="57"/>
      <c r="O221" s="57"/>
      <c r="P221" s="57"/>
      <c r="Q221" s="57"/>
      <c r="R221" s="57"/>
      <c r="S221" s="57"/>
      <c r="T221" s="45"/>
      <c r="U221" s="76"/>
      <c r="V221" s="45"/>
      <c r="W221" s="57"/>
      <c r="X221" s="57"/>
      <c r="Y221" s="57"/>
      <c r="Z221" s="57"/>
      <c r="AA221" s="57"/>
      <c r="AB221" s="57"/>
      <c r="AC221" s="57"/>
      <c r="AD221" s="57"/>
      <c r="AE221" s="71"/>
      <c r="AF221" s="57"/>
      <c r="AG221" s="57"/>
      <c r="AH221" s="57"/>
      <c r="AI221" s="57"/>
      <c r="AJ221" s="57"/>
      <c r="AK221" s="57"/>
      <c r="AL221" s="57"/>
      <c r="AM221" s="57"/>
      <c r="AN221" s="76"/>
      <c r="AO221" s="45"/>
      <c r="AP221" s="57"/>
      <c r="AQ221" s="57"/>
      <c r="AR221" s="57"/>
      <c r="AS221" s="57"/>
      <c r="AT221" s="57"/>
      <c r="AU221" s="57"/>
      <c r="AV221" s="57"/>
      <c r="AW221" s="57"/>
    </row>
    <row r="222" spans="1:49">
      <c r="A222" s="12" t="str">
        <f>Roster!A222</f>
        <v/>
      </c>
      <c r="B222" s="28">
        <f>Roster!C222</f>
        <v>0</v>
      </c>
      <c r="C222" s="55"/>
      <c r="D222" s="56"/>
      <c r="E222" s="57"/>
      <c r="F222" s="57"/>
      <c r="G222" s="57"/>
      <c r="H222" s="57"/>
      <c r="I222" s="57"/>
      <c r="J222" s="57"/>
      <c r="K222" s="45"/>
      <c r="L222" s="58"/>
      <c r="M222" s="56"/>
      <c r="N222" s="57"/>
      <c r="O222" s="57"/>
      <c r="P222" s="57"/>
      <c r="Q222" s="57"/>
      <c r="R222" s="57"/>
      <c r="S222" s="57"/>
      <c r="T222" s="45"/>
      <c r="U222" s="76"/>
      <c r="V222" s="45"/>
      <c r="W222" s="57"/>
      <c r="X222" s="57"/>
      <c r="Y222" s="57"/>
      <c r="Z222" s="57"/>
      <c r="AA222" s="57"/>
      <c r="AB222" s="57"/>
      <c r="AC222" s="57"/>
      <c r="AD222" s="57"/>
      <c r="AE222" s="71"/>
      <c r="AF222" s="57"/>
      <c r="AG222" s="57"/>
      <c r="AH222" s="57"/>
      <c r="AI222" s="57"/>
      <c r="AJ222" s="57"/>
      <c r="AK222" s="57"/>
      <c r="AL222" s="57"/>
      <c r="AM222" s="57"/>
      <c r="AN222" s="76"/>
      <c r="AO222" s="45"/>
      <c r="AP222" s="57"/>
      <c r="AQ222" s="57"/>
      <c r="AR222" s="57"/>
      <c r="AS222" s="57"/>
      <c r="AT222" s="57"/>
      <c r="AU222" s="57"/>
      <c r="AV222" s="57"/>
      <c r="AW222" s="57"/>
    </row>
    <row r="223" spans="1:49">
      <c r="A223" s="12" t="str">
        <f>Roster!A223</f>
        <v/>
      </c>
      <c r="B223" s="28">
        <f>Roster!C223</f>
        <v>0</v>
      </c>
      <c r="C223" s="55"/>
      <c r="D223" s="56"/>
      <c r="E223" s="57"/>
      <c r="F223" s="57"/>
      <c r="G223" s="57"/>
      <c r="H223" s="57"/>
      <c r="I223" s="57"/>
      <c r="J223" s="57"/>
      <c r="K223" s="45"/>
      <c r="L223" s="58"/>
      <c r="M223" s="56"/>
      <c r="N223" s="57"/>
      <c r="O223" s="57"/>
      <c r="P223" s="57"/>
      <c r="Q223" s="57"/>
      <c r="R223" s="57"/>
      <c r="S223" s="57"/>
      <c r="T223" s="45"/>
      <c r="U223" s="76"/>
      <c r="V223" s="45"/>
      <c r="W223" s="57"/>
      <c r="X223" s="57"/>
      <c r="Y223" s="57"/>
      <c r="Z223" s="57"/>
      <c r="AA223" s="57"/>
      <c r="AB223" s="57"/>
      <c r="AC223" s="57"/>
      <c r="AD223" s="57"/>
      <c r="AE223" s="71"/>
      <c r="AF223" s="57"/>
      <c r="AG223" s="57"/>
      <c r="AH223" s="57"/>
      <c r="AI223" s="57"/>
      <c r="AJ223" s="57"/>
      <c r="AK223" s="57"/>
      <c r="AL223" s="57"/>
      <c r="AM223" s="57"/>
      <c r="AN223" s="76"/>
      <c r="AO223" s="45"/>
      <c r="AP223" s="57"/>
      <c r="AQ223" s="57"/>
      <c r="AR223" s="57"/>
      <c r="AS223" s="57"/>
      <c r="AT223" s="57"/>
      <c r="AU223" s="57"/>
      <c r="AV223" s="57"/>
      <c r="AW223" s="57"/>
    </row>
    <row r="224" spans="1:49">
      <c r="A224" s="12" t="str">
        <f>Roster!A224</f>
        <v/>
      </c>
      <c r="B224" s="28">
        <f>Roster!C224</f>
        <v>0</v>
      </c>
      <c r="C224" s="55"/>
      <c r="D224" s="56"/>
      <c r="E224" s="57"/>
      <c r="F224" s="57"/>
      <c r="G224" s="57"/>
      <c r="H224" s="57"/>
      <c r="I224" s="57"/>
      <c r="J224" s="57"/>
      <c r="K224" s="45"/>
      <c r="L224" s="58"/>
      <c r="M224" s="56"/>
      <c r="N224" s="57"/>
      <c r="O224" s="57"/>
      <c r="P224" s="57"/>
      <c r="Q224" s="57"/>
      <c r="R224" s="57"/>
      <c r="S224" s="57"/>
      <c r="T224" s="45"/>
      <c r="U224" s="76"/>
      <c r="V224" s="45"/>
      <c r="W224" s="57"/>
      <c r="X224" s="57"/>
      <c r="Y224" s="57"/>
      <c r="Z224" s="57"/>
      <c r="AA224" s="57"/>
      <c r="AB224" s="57"/>
      <c r="AC224" s="57"/>
      <c r="AD224" s="57"/>
      <c r="AE224" s="71"/>
      <c r="AF224" s="57"/>
      <c r="AG224" s="57"/>
      <c r="AH224" s="57"/>
      <c r="AI224" s="57"/>
      <c r="AJ224" s="57"/>
      <c r="AK224" s="57"/>
      <c r="AL224" s="57"/>
      <c r="AM224" s="57"/>
      <c r="AN224" s="76"/>
      <c r="AO224" s="45"/>
      <c r="AP224" s="57"/>
      <c r="AQ224" s="57"/>
      <c r="AR224" s="57"/>
      <c r="AS224" s="57"/>
      <c r="AT224" s="57"/>
      <c r="AU224" s="57"/>
      <c r="AV224" s="57"/>
      <c r="AW224" s="57"/>
    </row>
    <row r="225" spans="1:49">
      <c r="A225" s="12" t="str">
        <f>Roster!A225</f>
        <v/>
      </c>
      <c r="B225" s="28">
        <f>Roster!C225</f>
        <v>0</v>
      </c>
      <c r="C225" s="55"/>
      <c r="D225" s="56"/>
      <c r="E225" s="57"/>
      <c r="F225" s="57"/>
      <c r="G225" s="57"/>
      <c r="H225" s="57"/>
      <c r="I225" s="57"/>
      <c r="J225" s="57"/>
      <c r="K225" s="45"/>
      <c r="L225" s="58"/>
      <c r="M225" s="56"/>
      <c r="N225" s="57"/>
      <c r="O225" s="57"/>
      <c r="P225" s="57"/>
      <c r="Q225" s="57"/>
      <c r="R225" s="57"/>
      <c r="S225" s="57"/>
      <c r="T225" s="45"/>
      <c r="U225" s="76"/>
      <c r="V225" s="45"/>
      <c r="W225" s="57"/>
      <c r="X225" s="57"/>
      <c r="Y225" s="57"/>
      <c r="Z225" s="57"/>
      <c r="AA225" s="57"/>
      <c r="AB225" s="57"/>
      <c r="AC225" s="57"/>
      <c r="AD225" s="57"/>
      <c r="AE225" s="71"/>
      <c r="AF225" s="57"/>
      <c r="AG225" s="57"/>
      <c r="AH225" s="57"/>
      <c r="AI225" s="57"/>
      <c r="AJ225" s="57"/>
      <c r="AK225" s="57"/>
      <c r="AL225" s="57"/>
      <c r="AM225" s="57"/>
      <c r="AN225" s="76"/>
      <c r="AO225" s="45"/>
      <c r="AP225" s="57"/>
      <c r="AQ225" s="57"/>
      <c r="AR225" s="57"/>
      <c r="AS225" s="57"/>
      <c r="AT225" s="57"/>
      <c r="AU225" s="57"/>
      <c r="AV225" s="57"/>
      <c r="AW225" s="57"/>
    </row>
    <row r="226" spans="1:49">
      <c r="A226" s="12" t="str">
        <f>Roster!A226</f>
        <v/>
      </c>
      <c r="B226" s="28">
        <f>Roster!C226</f>
        <v>0</v>
      </c>
      <c r="C226" s="55"/>
      <c r="D226" s="56"/>
      <c r="E226" s="57"/>
      <c r="F226" s="57"/>
      <c r="G226" s="57"/>
      <c r="H226" s="57"/>
      <c r="I226" s="57"/>
      <c r="J226" s="57"/>
      <c r="K226" s="45"/>
      <c r="L226" s="58"/>
      <c r="M226" s="56"/>
      <c r="N226" s="57"/>
      <c r="O226" s="57"/>
      <c r="P226" s="57"/>
      <c r="Q226" s="57"/>
      <c r="R226" s="57"/>
      <c r="S226" s="57"/>
      <c r="T226" s="45"/>
      <c r="U226" s="76"/>
      <c r="V226" s="45"/>
      <c r="W226" s="57"/>
      <c r="X226" s="57"/>
      <c r="Y226" s="57"/>
      <c r="Z226" s="57"/>
      <c r="AA226" s="57"/>
      <c r="AB226" s="57"/>
      <c r="AC226" s="57"/>
      <c r="AD226" s="57"/>
      <c r="AE226" s="71"/>
      <c r="AF226" s="57"/>
      <c r="AG226" s="57"/>
      <c r="AH226" s="57"/>
      <c r="AI226" s="57"/>
      <c r="AJ226" s="57"/>
      <c r="AK226" s="57"/>
      <c r="AL226" s="57"/>
      <c r="AM226" s="57"/>
      <c r="AN226" s="76"/>
      <c r="AO226" s="45"/>
      <c r="AP226" s="57"/>
      <c r="AQ226" s="57"/>
      <c r="AR226" s="57"/>
      <c r="AS226" s="57"/>
      <c r="AT226" s="57"/>
      <c r="AU226" s="57"/>
      <c r="AV226" s="57"/>
      <c r="AW226" s="57"/>
    </row>
    <row r="227" spans="1:49">
      <c r="A227" s="12" t="str">
        <f>Roster!A227</f>
        <v/>
      </c>
      <c r="B227" s="28">
        <f>Roster!C227</f>
        <v>0</v>
      </c>
      <c r="C227" s="55"/>
      <c r="D227" s="56"/>
      <c r="E227" s="57"/>
      <c r="F227" s="57"/>
      <c r="G227" s="57"/>
      <c r="H227" s="57"/>
      <c r="I227" s="57"/>
      <c r="J227" s="57"/>
      <c r="K227" s="45"/>
      <c r="L227" s="58"/>
      <c r="M227" s="56"/>
      <c r="N227" s="57"/>
      <c r="O227" s="57"/>
      <c r="P227" s="57"/>
      <c r="Q227" s="57"/>
      <c r="R227" s="57"/>
      <c r="S227" s="57"/>
      <c r="T227" s="45"/>
      <c r="U227" s="76"/>
      <c r="V227" s="45"/>
      <c r="W227" s="57"/>
      <c r="X227" s="57"/>
      <c r="Y227" s="57"/>
      <c r="Z227" s="57"/>
      <c r="AA227" s="57"/>
      <c r="AB227" s="57"/>
      <c r="AC227" s="57"/>
      <c r="AD227" s="57"/>
      <c r="AE227" s="71"/>
      <c r="AF227" s="57"/>
      <c r="AG227" s="57"/>
      <c r="AH227" s="57"/>
      <c r="AI227" s="57"/>
      <c r="AJ227" s="57"/>
      <c r="AK227" s="57"/>
      <c r="AL227" s="57"/>
      <c r="AM227" s="57"/>
      <c r="AN227" s="76"/>
      <c r="AO227" s="45"/>
      <c r="AP227" s="57"/>
      <c r="AQ227" s="57"/>
      <c r="AR227" s="57"/>
      <c r="AS227" s="57"/>
      <c r="AT227" s="57"/>
      <c r="AU227" s="57"/>
      <c r="AV227" s="57"/>
      <c r="AW227" s="57"/>
    </row>
    <row r="228" spans="1:49">
      <c r="A228" s="12" t="str">
        <f>Roster!A228</f>
        <v/>
      </c>
      <c r="B228" s="28">
        <f>Roster!C228</f>
        <v>0</v>
      </c>
      <c r="C228" s="55"/>
      <c r="D228" s="56"/>
      <c r="E228" s="57"/>
      <c r="F228" s="57"/>
      <c r="G228" s="57"/>
      <c r="H228" s="57"/>
      <c r="I228" s="57"/>
      <c r="J228" s="57"/>
      <c r="K228" s="45"/>
      <c r="L228" s="58"/>
      <c r="M228" s="56"/>
      <c r="N228" s="57"/>
      <c r="O228" s="57"/>
      <c r="P228" s="57"/>
      <c r="Q228" s="57"/>
      <c r="R228" s="57"/>
      <c r="S228" s="57"/>
      <c r="T228" s="45"/>
      <c r="U228" s="76"/>
      <c r="V228" s="45"/>
      <c r="W228" s="57"/>
      <c r="X228" s="57"/>
      <c r="Y228" s="57"/>
      <c r="Z228" s="57"/>
      <c r="AA228" s="57"/>
      <c r="AB228" s="57"/>
      <c r="AC228" s="57"/>
      <c r="AD228" s="57"/>
      <c r="AE228" s="71"/>
      <c r="AF228" s="57"/>
      <c r="AG228" s="57"/>
      <c r="AH228" s="57"/>
      <c r="AI228" s="57"/>
      <c r="AJ228" s="57"/>
      <c r="AK228" s="57"/>
      <c r="AL228" s="57"/>
      <c r="AM228" s="57"/>
      <c r="AN228" s="76"/>
      <c r="AO228" s="45"/>
      <c r="AP228" s="57"/>
      <c r="AQ228" s="57"/>
      <c r="AR228" s="57"/>
      <c r="AS228" s="57"/>
      <c r="AT228" s="57"/>
      <c r="AU228" s="57"/>
      <c r="AV228" s="57"/>
      <c r="AW228" s="57"/>
    </row>
    <row r="229" spans="1:49">
      <c r="A229" s="12" t="str">
        <f>Roster!A229</f>
        <v/>
      </c>
      <c r="B229" s="28">
        <f>Roster!C229</f>
        <v>0</v>
      </c>
      <c r="C229" s="55"/>
      <c r="D229" s="56"/>
      <c r="E229" s="57"/>
      <c r="F229" s="57"/>
      <c r="G229" s="57"/>
      <c r="H229" s="57"/>
      <c r="I229" s="57"/>
      <c r="J229" s="57"/>
      <c r="K229" s="45"/>
      <c r="L229" s="58"/>
      <c r="M229" s="56"/>
      <c r="N229" s="57"/>
      <c r="O229" s="57"/>
      <c r="P229" s="57"/>
      <c r="Q229" s="57"/>
      <c r="R229" s="57"/>
      <c r="S229" s="57"/>
      <c r="T229" s="45"/>
      <c r="U229" s="76"/>
      <c r="V229" s="45"/>
      <c r="W229" s="57"/>
      <c r="X229" s="57"/>
      <c r="Y229" s="57"/>
      <c r="Z229" s="57"/>
      <c r="AA229" s="57"/>
      <c r="AB229" s="57"/>
      <c r="AC229" s="57"/>
      <c r="AD229" s="57"/>
      <c r="AE229" s="71"/>
      <c r="AF229" s="57"/>
      <c r="AG229" s="57"/>
      <c r="AH229" s="57"/>
      <c r="AI229" s="57"/>
      <c r="AJ229" s="57"/>
      <c r="AK229" s="57"/>
      <c r="AL229" s="57"/>
      <c r="AM229" s="57"/>
      <c r="AN229" s="76"/>
      <c r="AO229" s="45"/>
      <c r="AP229" s="57"/>
      <c r="AQ229" s="57"/>
      <c r="AR229" s="57"/>
      <c r="AS229" s="57"/>
      <c r="AT229" s="57"/>
      <c r="AU229" s="57"/>
      <c r="AV229" s="57"/>
      <c r="AW229" s="57"/>
    </row>
    <row r="230" spans="1:49">
      <c r="A230" s="12" t="str">
        <f>Roster!A230</f>
        <v/>
      </c>
      <c r="B230" s="28">
        <f>Roster!C230</f>
        <v>0</v>
      </c>
      <c r="C230" s="55"/>
      <c r="D230" s="56"/>
      <c r="E230" s="57"/>
      <c r="F230" s="57"/>
      <c r="G230" s="57"/>
      <c r="H230" s="57"/>
      <c r="I230" s="57"/>
      <c r="J230" s="57"/>
      <c r="K230" s="45"/>
      <c r="L230" s="58"/>
      <c r="M230" s="56"/>
      <c r="N230" s="57"/>
      <c r="O230" s="57"/>
      <c r="P230" s="57"/>
      <c r="Q230" s="57"/>
      <c r="R230" s="57"/>
      <c r="S230" s="57"/>
      <c r="T230" s="45"/>
      <c r="U230" s="76"/>
      <c r="V230" s="45"/>
      <c r="W230" s="57"/>
      <c r="X230" s="57"/>
      <c r="Y230" s="57"/>
      <c r="Z230" s="57"/>
      <c r="AA230" s="57"/>
      <c r="AB230" s="57"/>
      <c r="AC230" s="57"/>
      <c r="AD230" s="57"/>
      <c r="AE230" s="71"/>
      <c r="AF230" s="57"/>
      <c r="AG230" s="57"/>
      <c r="AH230" s="57"/>
      <c r="AI230" s="57"/>
      <c r="AJ230" s="57"/>
      <c r="AK230" s="57"/>
      <c r="AL230" s="57"/>
      <c r="AM230" s="57"/>
      <c r="AN230" s="76"/>
      <c r="AO230" s="45"/>
      <c r="AP230" s="57"/>
      <c r="AQ230" s="57"/>
      <c r="AR230" s="57"/>
      <c r="AS230" s="57"/>
      <c r="AT230" s="57"/>
      <c r="AU230" s="57"/>
      <c r="AV230" s="57"/>
      <c r="AW230" s="57"/>
    </row>
    <row r="231" spans="1:49">
      <c r="A231" s="12" t="str">
        <f>Roster!A231</f>
        <v/>
      </c>
      <c r="B231" s="28">
        <f>Roster!C231</f>
        <v>0</v>
      </c>
      <c r="C231" s="55"/>
      <c r="D231" s="56"/>
      <c r="E231" s="57"/>
      <c r="F231" s="57"/>
      <c r="G231" s="57"/>
      <c r="H231" s="57"/>
      <c r="I231" s="57"/>
      <c r="J231" s="57"/>
      <c r="K231" s="45"/>
      <c r="L231" s="58"/>
      <c r="M231" s="56"/>
      <c r="N231" s="57"/>
      <c r="O231" s="57"/>
      <c r="P231" s="57"/>
      <c r="Q231" s="57"/>
      <c r="R231" s="57"/>
      <c r="S231" s="57"/>
      <c r="T231" s="45"/>
      <c r="U231" s="76"/>
      <c r="V231" s="45"/>
      <c r="W231" s="57"/>
      <c r="X231" s="57"/>
      <c r="Y231" s="57"/>
      <c r="Z231" s="57"/>
      <c r="AA231" s="57"/>
      <c r="AB231" s="57"/>
      <c r="AC231" s="57"/>
      <c r="AD231" s="57"/>
      <c r="AE231" s="71"/>
      <c r="AF231" s="57"/>
      <c r="AG231" s="57"/>
      <c r="AH231" s="57"/>
      <c r="AI231" s="57"/>
      <c r="AJ231" s="57"/>
      <c r="AK231" s="57"/>
      <c r="AL231" s="57"/>
      <c r="AM231" s="57"/>
      <c r="AN231" s="76"/>
      <c r="AO231" s="45"/>
      <c r="AP231" s="57"/>
      <c r="AQ231" s="57"/>
      <c r="AR231" s="57"/>
      <c r="AS231" s="57"/>
      <c r="AT231" s="57"/>
      <c r="AU231" s="57"/>
      <c r="AV231" s="57"/>
      <c r="AW231" s="57"/>
    </row>
    <row r="232" spans="1:49">
      <c r="A232" s="12" t="str">
        <f>Roster!A232</f>
        <v/>
      </c>
      <c r="B232" s="28">
        <f>Roster!C232</f>
        <v>0</v>
      </c>
      <c r="C232" s="55"/>
      <c r="D232" s="56"/>
      <c r="E232" s="57"/>
      <c r="F232" s="57"/>
      <c r="G232" s="57"/>
      <c r="H232" s="57"/>
      <c r="I232" s="57"/>
      <c r="J232" s="57"/>
      <c r="K232" s="45"/>
      <c r="L232" s="58"/>
      <c r="M232" s="56"/>
      <c r="N232" s="57"/>
      <c r="O232" s="57"/>
      <c r="P232" s="57"/>
      <c r="Q232" s="57"/>
      <c r="R232" s="57"/>
      <c r="S232" s="57"/>
      <c r="T232" s="45"/>
      <c r="U232" s="76"/>
      <c r="V232" s="45"/>
      <c r="W232" s="57"/>
      <c r="X232" s="57"/>
      <c r="Y232" s="57"/>
      <c r="Z232" s="57"/>
      <c r="AA232" s="57"/>
      <c r="AB232" s="57"/>
      <c r="AC232" s="57"/>
      <c r="AD232" s="57"/>
      <c r="AE232" s="71"/>
      <c r="AF232" s="57"/>
      <c r="AG232" s="57"/>
      <c r="AH232" s="57"/>
      <c r="AI232" s="57"/>
      <c r="AJ232" s="57"/>
      <c r="AK232" s="57"/>
      <c r="AL232" s="57"/>
      <c r="AM232" s="57"/>
      <c r="AN232" s="76"/>
      <c r="AO232" s="45"/>
      <c r="AP232" s="57"/>
      <c r="AQ232" s="57"/>
      <c r="AR232" s="57"/>
      <c r="AS232" s="57"/>
      <c r="AT232" s="57"/>
      <c r="AU232" s="57"/>
      <c r="AV232" s="57"/>
      <c r="AW232" s="57"/>
    </row>
    <row r="233" spans="1:49">
      <c r="A233" s="12" t="str">
        <f>Roster!A233</f>
        <v/>
      </c>
      <c r="B233" s="28">
        <f>Roster!C233</f>
        <v>0</v>
      </c>
      <c r="C233" s="55"/>
      <c r="D233" s="56"/>
      <c r="E233" s="57"/>
      <c r="F233" s="57"/>
      <c r="G233" s="57"/>
      <c r="H233" s="57"/>
      <c r="I233" s="57"/>
      <c r="J233" s="57"/>
      <c r="K233" s="45"/>
      <c r="L233" s="58"/>
      <c r="M233" s="56"/>
      <c r="N233" s="57"/>
      <c r="O233" s="57"/>
      <c r="P233" s="57"/>
      <c r="Q233" s="57"/>
      <c r="R233" s="57"/>
      <c r="S233" s="57"/>
      <c r="T233" s="45"/>
      <c r="U233" s="76"/>
      <c r="V233" s="45"/>
      <c r="W233" s="57"/>
      <c r="X233" s="57"/>
      <c r="Y233" s="57"/>
      <c r="Z233" s="57"/>
      <c r="AA233" s="57"/>
      <c r="AB233" s="57"/>
      <c r="AC233" s="57"/>
      <c r="AD233" s="57"/>
      <c r="AE233" s="71"/>
      <c r="AF233" s="57"/>
      <c r="AG233" s="57"/>
      <c r="AH233" s="57"/>
      <c r="AI233" s="57"/>
      <c r="AJ233" s="57"/>
      <c r="AK233" s="57"/>
      <c r="AL233" s="57"/>
      <c r="AM233" s="57"/>
      <c r="AN233" s="76"/>
      <c r="AO233" s="45"/>
      <c r="AP233" s="57"/>
      <c r="AQ233" s="57"/>
      <c r="AR233" s="57"/>
      <c r="AS233" s="57"/>
      <c r="AT233" s="57"/>
      <c r="AU233" s="57"/>
      <c r="AV233" s="57"/>
      <c r="AW233" s="57"/>
    </row>
    <row r="234" spans="1:49">
      <c r="A234" s="12" t="str">
        <f>Roster!A234</f>
        <v/>
      </c>
      <c r="B234" s="28">
        <f>Roster!C234</f>
        <v>0</v>
      </c>
      <c r="C234" s="55"/>
      <c r="D234" s="56"/>
      <c r="E234" s="57"/>
      <c r="F234" s="57"/>
      <c r="G234" s="57"/>
      <c r="H234" s="57"/>
      <c r="I234" s="57"/>
      <c r="J234" s="57"/>
      <c r="K234" s="45"/>
      <c r="L234" s="58"/>
      <c r="M234" s="56"/>
      <c r="N234" s="57"/>
      <c r="O234" s="57"/>
      <c r="P234" s="57"/>
      <c r="Q234" s="57"/>
      <c r="R234" s="57"/>
      <c r="S234" s="57"/>
      <c r="T234" s="45"/>
      <c r="U234" s="76"/>
      <c r="V234" s="45"/>
      <c r="W234" s="57"/>
      <c r="X234" s="57"/>
      <c r="Y234" s="57"/>
      <c r="Z234" s="57"/>
      <c r="AA234" s="57"/>
      <c r="AB234" s="57"/>
      <c r="AC234" s="57"/>
      <c r="AD234" s="57"/>
      <c r="AE234" s="71"/>
      <c r="AF234" s="57"/>
      <c r="AG234" s="57"/>
      <c r="AH234" s="57"/>
      <c r="AI234" s="57"/>
      <c r="AJ234" s="57"/>
      <c r="AK234" s="57"/>
      <c r="AL234" s="57"/>
      <c r="AM234" s="57"/>
      <c r="AN234" s="76"/>
      <c r="AO234" s="45"/>
      <c r="AP234" s="57"/>
      <c r="AQ234" s="57"/>
      <c r="AR234" s="57"/>
      <c r="AS234" s="57"/>
      <c r="AT234" s="57"/>
      <c r="AU234" s="57"/>
      <c r="AV234" s="57"/>
      <c r="AW234" s="57"/>
    </row>
    <row r="235" spans="1:49">
      <c r="A235" s="12" t="str">
        <f>Roster!A235</f>
        <v/>
      </c>
      <c r="B235" s="28">
        <f>Roster!C235</f>
        <v>0</v>
      </c>
      <c r="C235" s="55"/>
      <c r="D235" s="56"/>
      <c r="E235" s="57"/>
      <c r="F235" s="57"/>
      <c r="G235" s="57"/>
      <c r="H235" s="57"/>
      <c r="I235" s="57"/>
      <c r="J235" s="57"/>
      <c r="K235" s="45"/>
      <c r="L235" s="58"/>
      <c r="M235" s="56"/>
      <c r="N235" s="57"/>
      <c r="O235" s="57"/>
      <c r="P235" s="57"/>
      <c r="Q235" s="57"/>
      <c r="R235" s="57"/>
      <c r="S235" s="57"/>
      <c r="T235" s="45"/>
      <c r="U235" s="76"/>
      <c r="V235" s="45"/>
      <c r="W235" s="57"/>
      <c r="X235" s="57"/>
      <c r="Y235" s="57"/>
      <c r="Z235" s="57"/>
      <c r="AA235" s="57"/>
      <c r="AB235" s="57"/>
      <c r="AC235" s="57"/>
      <c r="AD235" s="57"/>
      <c r="AE235" s="71"/>
      <c r="AF235" s="57"/>
      <c r="AG235" s="57"/>
      <c r="AH235" s="57"/>
      <c r="AI235" s="57"/>
      <c r="AJ235" s="57"/>
      <c r="AK235" s="57"/>
      <c r="AL235" s="57"/>
      <c r="AM235" s="57"/>
      <c r="AN235" s="76"/>
      <c r="AO235" s="45"/>
      <c r="AP235" s="57"/>
      <c r="AQ235" s="57"/>
      <c r="AR235" s="57"/>
      <c r="AS235" s="57"/>
      <c r="AT235" s="57"/>
      <c r="AU235" s="57"/>
      <c r="AV235" s="57"/>
      <c r="AW235" s="57"/>
    </row>
    <row r="236" spans="1:49">
      <c r="A236" s="12" t="str">
        <f>Roster!A236</f>
        <v/>
      </c>
      <c r="B236" s="28">
        <f>Roster!C236</f>
        <v>0</v>
      </c>
      <c r="C236" s="55"/>
      <c r="D236" s="56"/>
      <c r="E236" s="57"/>
      <c r="F236" s="57"/>
      <c r="G236" s="57"/>
      <c r="H236" s="57"/>
      <c r="I236" s="57"/>
      <c r="J236" s="57"/>
      <c r="K236" s="45"/>
      <c r="L236" s="58"/>
      <c r="M236" s="56"/>
      <c r="N236" s="57"/>
      <c r="O236" s="57"/>
      <c r="P236" s="57"/>
      <c r="Q236" s="57"/>
      <c r="R236" s="57"/>
      <c r="S236" s="57"/>
      <c r="T236" s="45"/>
      <c r="U236" s="76"/>
      <c r="V236" s="45"/>
      <c r="W236" s="57"/>
      <c r="X236" s="57"/>
      <c r="Y236" s="57"/>
      <c r="Z236" s="57"/>
      <c r="AA236" s="57"/>
      <c r="AB236" s="57"/>
      <c r="AC236" s="57"/>
      <c r="AD236" s="57"/>
      <c r="AE236" s="71"/>
      <c r="AF236" s="57"/>
      <c r="AG236" s="57"/>
      <c r="AH236" s="57"/>
      <c r="AI236" s="57"/>
      <c r="AJ236" s="57"/>
      <c r="AK236" s="57"/>
      <c r="AL236" s="57"/>
      <c r="AM236" s="57"/>
      <c r="AN236" s="76"/>
      <c r="AO236" s="45"/>
      <c r="AP236" s="57"/>
      <c r="AQ236" s="57"/>
      <c r="AR236" s="57"/>
      <c r="AS236" s="57"/>
      <c r="AT236" s="57"/>
      <c r="AU236" s="57"/>
      <c r="AV236" s="57"/>
      <c r="AW236" s="57"/>
    </row>
    <row r="237" spans="1:49">
      <c r="A237" s="12" t="str">
        <f>Roster!A237</f>
        <v/>
      </c>
      <c r="B237" s="28">
        <f>Roster!C237</f>
        <v>0</v>
      </c>
      <c r="C237" s="55"/>
      <c r="D237" s="56"/>
      <c r="E237" s="57"/>
      <c r="F237" s="57"/>
      <c r="G237" s="57"/>
      <c r="H237" s="57"/>
      <c r="I237" s="57"/>
      <c r="J237" s="57"/>
      <c r="K237" s="45"/>
      <c r="L237" s="58"/>
      <c r="M237" s="56"/>
      <c r="N237" s="57"/>
      <c r="O237" s="57"/>
      <c r="P237" s="57"/>
      <c r="Q237" s="57"/>
      <c r="R237" s="57"/>
      <c r="S237" s="57"/>
      <c r="T237" s="45"/>
      <c r="U237" s="76"/>
      <c r="V237" s="45"/>
      <c r="W237" s="57"/>
      <c r="X237" s="57"/>
      <c r="Y237" s="57"/>
      <c r="Z237" s="57"/>
      <c r="AA237" s="57"/>
      <c r="AB237" s="57"/>
      <c r="AC237" s="57"/>
      <c r="AD237" s="57"/>
      <c r="AE237" s="71"/>
      <c r="AF237" s="57"/>
      <c r="AG237" s="57"/>
      <c r="AH237" s="57"/>
      <c r="AI237" s="57"/>
      <c r="AJ237" s="57"/>
      <c r="AK237" s="57"/>
      <c r="AL237" s="57"/>
      <c r="AM237" s="57"/>
      <c r="AN237" s="76"/>
      <c r="AO237" s="45"/>
      <c r="AP237" s="57"/>
      <c r="AQ237" s="57"/>
      <c r="AR237" s="57"/>
      <c r="AS237" s="57"/>
      <c r="AT237" s="57"/>
      <c r="AU237" s="57"/>
      <c r="AV237" s="57"/>
      <c r="AW237" s="57"/>
    </row>
    <row r="238" spans="1:49">
      <c r="A238" s="12" t="str">
        <f>Roster!A238</f>
        <v/>
      </c>
      <c r="B238" s="28">
        <f>Roster!C238</f>
        <v>0</v>
      </c>
      <c r="C238" s="55"/>
      <c r="D238" s="56"/>
      <c r="E238" s="57"/>
      <c r="F238" s="57"/>
      <c r="G238" s="57"/>
      <c r="H238" s="57"/>
      <c r="I238" s="57"/>
      <c r="J238" s="57"/>
      <c r="K238" s="45"/>
      <c r="L238" s="58"/>
      <c r="M238" s="56"/>
      <c r="N238" s="57"/>
      <c r="O238" s="57"/>
      <c r="P238" s="57"/>
      <c r="Q238" s="57"/>
      <c r="R238" s="57"/>
      <c r="S238" s="57"/>
      <c r="T238" s="45"/>
      <c r="U238" s="76"/>
      <c r="V238" s="45"/>
      <c r="W238" s="57"/>
      <c r="X238" s="57"/>
      <c r="Y238" s="57"/>
      <c r="Z238" s="57"/>
      <c r="AA238" s="57"/>
      <c r="AB238" s="57"/>
      <c r="AC238" s="57"/>
      <c r="AD238" s="57"/>
      <c r="AE238" s="71"/>
      <c r="AF238" s="57"/>
      <c r="AG238" s="57"/>
      <c r="AH238" s="57"/>
      <c r="AI238" s="57"/>
      <c r="AJ238" s="57"/>
      <c r="AK238" s="57"/>
      <c r="AL238" s="57"/>
      <c r="AM238" s="57"/>
      <c r="AN238" s="76"/>
      <c r="AO238" s="45"/>
      <c r="AP238" s="57"/>
      <c r="AQ238" s="57"/>
      <c r="AR238" s="57"/>
      <c r="AS238" s="57"/>
      <c r="AT238" s="57"/>
      <c r="AU238" s="57"/>
      <c r="AV238" s="57"/>
      <c r="AW238" s="57"/>
    </row>
    <row r="239" spans="1:49">
      <c r="A239" s="12" t="str">
        <f>Roster!A239</f>
        <v/>
      </c>
      <c r="B239" s="28">
        <f>Roster!C239</f>
        <v>0</v>
      </c>
      <c r="C239" s="55"/>
      <c r="D239" s="56"/>
      <c r="E239" s="57"/>
      <c r="F239" s="57"/>
      <c r="G239" s="57"/>
      <c r="H239" s="57"/>
      <c r="I239" s="57"/>
      <c r="J239" s="57"/>
      <c r="K239" s="45"/>
      <c r="L239" s="58"/>
      <c r="M239" s="56"/>
      <c r="N239" s="57"/>
      <c r="O239" s="57"/>
      <c r="P239" s="57"/>
      <c r="Q239" s="57"/>
      <c r="R239" s="57"/>
      <c r="S239" s="57"/>
      <c r="T239" s="45"/>
      <c r="U239" s="76"/>
      <c r="V239" s="45"/>
      <c r="W239" s="57"/>
      <c r="X239" s="57"/>
      <c r="Y239" s="57"/>
      <c r="Z239" s="57"/>
      <c r="AA239" s="57"/>
      <c r="AB239" s="57"/>
      <c r="AC239" s="57"/>
      <c r="AD239" s="57"/>
      <c r="AE239" s="71"/>
      <c r="AF239" s="57"/>
      <c r="AG239" s="57"/>
      <c r="AH239" s="57"/>
      <c r="AI239" s="57"/>
      <c r="AJ239" s="57"/>
      <c r="AK239" s="57"/>
      <c r="AL239" s="57"/>
      <c r="AM239" s="57"/>
      <c r="AN239" s="76"/>
      <c r="AO239" s="45"/>
      <c r="AP239" s="57"/>
      <c r="AQ239" s="57"/>
      <c r="AR239" s="57"/>
      <c r="AS239" s="57"/>
      <c r="AT239" s="57"/>
      <c r="AU239" s="57"/>
      <c r="AV239" s="57"/>
      <c r="AW239" s="57"/>
    </row>
    <row r="240" spans="1:49">
      <c r="A240" s="12" t="str">
        <f>Roster!A240</f>
        <v/>
      </c>
      <c r="B240" s="28">
        <f>Roster!C240</f>
        <v>0</v>
      </c>
      <c r="C240" s="55"/>
      <c r="D240" s="56"/>
      <c r="E240" s="57"/>
      <c r="F240" s="57"/>
      <c r="G240" s="57"/>
      <c r="H240" s="57"/>
      <c r="I240" s="57"/>
      <c r="J240" s="57"/>
      <c r="K240" s="45"/>
      <c r="L240" s="58"/>
      <c r="M240" s="56"/>
      <c r="N240" s="57"/>
      <c r="O240" s="57"/>
      <c r="P240" s="57"/>
      <c r="Q240" s="57"/>
      <c r="R240" s="57"/>
      <c r="S240" s="57"/>
      <c r="T240" s="45"/>
      <c r="U240" s="76"/>
      <c r="V240" s="45"/>
      <c r="W240" s="57"/>
      <c r="X240" s="57"/>
      <c r="Y240" s="57"/>
      <c r="Z240" s="57"/>
      <c r="AA240" s="57"/>
      <c r="AB240" s="57"/>
      <c r="AC240" s="57"/>
      <c r="AD240" s="57"/>
      <c r="AE240" s="71"/>
      <c r="AF240" s="57"/>
      <c r="AG240" s="57"/>
      <c r="AH240" s="57"/>
      <c r="AI240" s="57"/>
      <c r="AJ240" s="57"/>
      <c r="AK240" s="57"/>
      <c r="AL240" s="57"/>
      <c r="AM240" s="57"/>
      <c r="AN240" s="76"/>
      <c r="AO240" s="45"/>
      <c r="AP240" s="57"/>
      <c r="AQ240" s="57"/>
      <c r="AR240" s="57"/>
      <c r="AS240" s="57"/>
      <c r="AT240" s="57"/>
      <c r="AU240" s="57"/>
      <c r="AV240" s="57"/>
      <c r="AW240" s="57"/>
    </row>
    <row r="241" spans="1:49">
      <c r="A241" s="12" t="str">
        <f>Roster!A241</f>
        <v/>
      </c>
      <c r="B241" s="28">
        <f>Roster!C241</f>
        <v>0</v>
      </c>
      <c r="C241" s="55"/>
      <c r="D241" s="56"/>
      <c r="E241" s="57"/>
      <c r="F241" s="57"/>
      <c r="G241" s="57"/>
      <c r="H241" s="57"/>
      <c r="I241" s="57"/>
      <c r="J241" s="57"/>
      <c r="K241" s="45"/>
      <c r="L241" s="58"/>
      <c r="M241" s="56"/>
      <c r="N241" s="57"/>
      <c r="O241" s="57"/>
      <c r="P241" s="57"/>
      <c r="Q241" s="57"/>
      <c r="R241" s="57"/>
      <c r="S241" s="57"/>
      <c r="T241" s="45"/>
      <c r="U241" s="76"/>
      <c r="V241" s="45"/>
      <c r="W241" s="57"/>
      <c r="X241" s="57"/>
      <c r="Y241" s="57"/>
      <c r="Z241" s="57"/>
      <c r="AA241" s="57"/>
      <c r="AB241" s="57"/>
      <c r="AC241" s="57"/>
      <c r="AD241" s="57"/>
      <c r="AE241" s="71"/>
      <c r="AF241" s="57"/>
      <c r="AG241" s="57"/>
      <c r="AH241" s="57"/>
      <c r="AI241" s="57"/>
      <c r="AJ241" s="57"/>
      <c r="AK241" s="57"/>
      <c r="AL241" s="57"/>
      <c r="AM241" s="57"/>
      <c r="AN241" s="76"/>
      <c r="AO241" s="45"/>
      <c r="AP241" s="57"/>
      <c r="AQ241" s="57"/>
      <c r="AR241" s="57"/>
      <c r="AS241" s="57"/>
      <c r="AT241" s="57"/>
      <c r="AU241" s="57"/>
      <c r="AV241" s="57"/>
      <c r="AW241" s="57"/>
    </row>
    <row r="242" spans="1:49">
      <c r="A242" s="12" t="str">
        <f>Roster!A242</f>
        <v/>
      </c>
      <c r="B242" s="28">
        <f>Roster!C242</f>
        <v>0</v>
      </c>
      <c r="C242" s="55"/>
      <c r="D242" s="56"/>
      <c r="E242" s="57"/>
      <c r="F242" s="57"/>
      <c r="G242" s="57"/>
      <c r="H242" s="57"/>
      <c r="I242" s="57"/>
      <c r="J242" s="57"/>
      <c r="K242" s="45"/>
      <c r="L242" s="58"/>
      <c r="M242" s="56"/>
      <c r="N242" s="57"/>
      <c r="O242" s="57"/>
      <c r="P242" s="57"/>
      <c r="Q242" s="57"/>
      <c r="R242" s="57"/>
      <c r="S242" s="57"/>
      <c r="T242" s="45"/>
      <c r="U242" s="76"/>
      <c r="V242" s="45"/>
      <c r="W242" s="57"/>
      <c r="X242" s="57"/>
      <c r="Y242" s="57"/>
      <c r="Z242" s="57"/>
      <c r="AA242" s="57"/>
      <c r="AB242" s="57"/>
      <c r="AC242" s="57"/>
      <c r="AD242" s="57"/>
      <c r="AE242" s="71"/>
      <c r="AF242" s="57"/>
      <c r="AG242" s="57"/>
      <c r="AH242" s="57"/>
      <c r="AI242" s="57"/>
      <c r="AJ242" s="57"/>
      <c r="AK242" s="57"/>
      <c r="AL242" s="57"/>
      <c r="AM242" s="57"/>
      <c r="AN242" s="76"/>
      <c r="AO242" s="45"/>
      <c r="AP242" s="57"/>
      <c r="AQ242" s="57"/>
      <c r="AR242" s="57"/>
      <c r="AS242" s="57"/>
      <c r="AT242" s="57"/>
      <c r="AU242" s="57"/>
      <c r="AV242" s="57"/>
      <c r="AW242" s="57"/>
    </row>
    <row r="243" spans="1:49">
      <c r="A243" s="12" t="str">
        <f>Roster!A243</f>
        <v/>
      </c>
      <c r="B243" s="28">
        <f>Roster!C243</f>
        <v>0</v>
      </c>
      <c r="C243" s="55"/>
      <c r="D243" s="56"/>
      <c r="E243" s="57"/>
      <c r="F243" s="57"/>
      <c r="G243" s="57"/>
      <c r="H243" s="57"/>
      <c r="I243" s="57"/>
      <c r="J243" s="57"/>
      <c r="K243" s="45"/>
      <c r="L243" s="58"/>
      <c r="M243" s="56"/>
      <c r="N243" s="57"/>
      <c r="O243" s="57"/>
      <c r="P243" s="57"/>
      <c r="Q243" s="57"/>
      <c r="R243" s="57"/>
      <c r="S243" s="57"/>
      <c r="T243" s="45"/>
      <c r="U243" s="76"/>
      <c r="V243" s="45"/>
      <c r="W243" s="57"/>
      <c r="X243" s="57"/>
      <c r="Y243" s="57"/>
      <c r="Z243" s="57"/>
      <c r="AA243" s="57"/>
      <c r="AB243" s="57"/>
      <c r="AC243" s="57"/>
      <c r="AD243" s="57"/>
      <c r="AE243" s="71"/>
      <c r="AF243" s="57"/>
      <c r="AG243" s="57"/>
      <c r="AH243" s="57"/>
      <c r="AI243" s="57"/>
      <c r="AJ243" s="57"/>
      <c r="AK243" s="57"/>
      <c r="AL243" s="57"/>
      <c r="AM243" s="57"/>
      <c r="AN243" s="76"/>
      <c r="AO243" s="45"/>
      <c r="AP243" s="57"/>
      <c r="AQ243" s="57"/>
      <c r="AR243" s="57"/>
      <c r="AS243" s="57"/>
      <c r="AT243" s="57"/>
      <c r="AU243" s="57"/>
      <c r="AV243" s="57"/>
      <c r="AW243" s="57"/>
    </row>
    <row r="244" spans="1:49">
      <c r="A244" s="12" t="str">
        <f>Roster!A244</f>
        <v/>
      </c>
      <c r="B244" s="28">
        <f>Roster!C244</f>
        <v>0</v>
      </c>
      <c r="C244" s="55"/>
      <c r="D244" s="56"/>
      <c r="E244" s="57"/>
      <c r="F244" s="57"/>
      <c r="G244" s="57"/>
      <c r="H244" s="57"/>
      <c r="I244" s="57"/>
      <c r="J244" s="57"/>
      <c r="K244" s="45"/>
      <c r="L244" s="58"/>
      <c r="M244" s="56"/>
      <c r="N244" s="57"/>
      <c r="O244" s="57"/>
      <c r="P244" s="57"/>
      <c r="Q244" s="57"/>
      <c r="R244" s="57"/>
      <c r="S244" s="57"/>
      <c r="T244" s="45"/>
      <c r="U244" s="76"/>
      <c r="V244" s="45"/>
      <c r="W244" s="57"/>
      <c r="X244" s="57"/>
      <c r="Y244" s="57"/>
      <c r="Z244" s="57"/>
      <c r="AA244" s="57"/>
      <c r="AB244" s="57"/>
      <c r="AC244" s="57"/>
      <c r="AD244" s="57"/>
      <c r="AE244" s="71"/>
      <c r="AF244" s="57"/>
      <c r="AG244" s="57"/>
      <c r="AH244" s="57"/>
      <c r="AI244" s="57"/>
      <c r="AJ244" s="57"/>
      <c r="AK244" s="57"/>
      <c r="AL244" s="57"/>
      <c r="AM244" s="57"/>
      <c r="AN244" s="76"/>
      <c r="AO244" s="45"/>
      <c r="AP244" s="57"/>
      <c r="AQ244" s="57"/>
      <c r="AR244" s="57"/>
      <c r="AS244" s="57"/>
      <c r="AT244" s="57"/>
      <c r="AU244" s="57"/>
      <c r="AV244" s="57"/>
      <c r="AW244" s="57"/>
    </row>
    <row r="245" spans="1:49">
      <c r="A245" s="12" t="str">
        <f>Roster!A245</f>
        <v/>
      </c>
      <c r="B245" s="28">
        <f>Roster!C245</f>
        <v>0</v>
      </c>
      <c r="C245" s="55"/>
      <c r="D245" s="56"/>
      <c r="E245" s="57"/>
      <c r="F245" s="57"/>
      <c r="G245" s="57"/>
      <c r="H245" s="57"/>
      <c r="I245" s="57"/>
      <c r="J245" s="57"/>
      <c r="K245" s="45"/>
      <c r="L245" s="58"/>
      <c r="M245" s="56"/>
      <c r="N245" s="57"/>
      <c r="O245" s="57"/>
      <c r="P245" s="57"/>
      <c r="Q245" s="57"/>
      <c r="R245" s="57"/>
      <c r="S245" s="57"/>
      <c r="T245" s="45"/>
      <c r="U245" s="76"/>
      <c r="V245" s="45"/>
      <c r="W245" s="57"/>
      <c r="X245" s="57"/>
      <c r="Y245" s="57"/>
      <c r="Z245" s="57"/>
      <c r="AA245" s="57"/>
      <c r="AB245" s="57"/>
      <c r="AC245" s="57"/>
      <c r="AD245" s="57"/>
      <c r="AE245" s="71"/>
      <c r="AF245" s="57"/>
      <c r="AG245" s="57"/>
      <c r="AH245" s="57"/>
      <c r="AI245" s="57"/>
      <c r="AJ245" s="57"/>
      <c r="AK245" s="57"/>
      <c r="AL245" s="57"/>
      <c r="AM245" s="57"/>
      <c r="AN245" s="76"/>
      <c r="AO245" s="45"/>
      <c r="AP245" s="57"/>
      <c r="AQ245" s="57"/>
      <c r="AR245" s="57"/>
      <c r="AS245" s="57"/>
      <c r="AT245" s="57"/>
      <c r="AU245" s="57"/>
      <c r="AV245" s="57"/>
      <c r="AW245" s="57"/>
    </row>
    <row r="246" spans="1:49">
      <c r="A246" s="12" t="str">
        <f>Roster!A246</f>
        <v/>
      </c>
      <c r="B246" s="28">
        <f>Roster!C246</f>
        <v>0</v>
      </c>
      <c r="C246" s="55"/>
      <c r="D246" s="56"/>
      <c r="E246" s="57"/>
      <c r="F246" s="57"/>
      <c r="G246" s="57"/>
      <c r="H246" s="57"/>
      <c r="I246" s="57"/>
      <c r="J246" s="57"/>
      <c r="K246" s="45"/>
      <c r="L246" s="58"/>
      <c r="M246" s="56"/>
      <c r="N246" s="57"/>
      <c r="O246" s="57"/>
      <c r="P246" s="57"/>
      <c r="Q246" s="57"/>
      <c r="R246" s="57"/>
      <c r="S246" s="57"/>
      <c r="T246" s="45"/>
      <c r="U246" s="76"/>
      <c r="V246" s="45"/>
      <c r="W246" s="57"/>
      <c r="X246" s="57"/>
      <c r="Y246" s="57"/>
      <c r="Z246" s="57"/>
      <c r="AA246" s="57"/>
      <c r="AB246" s="57"/>
      <c r="AC246" s="57"/>
      <c r="AD246" s="57"/>
      <c r="AE246" s="71"/>
      <c r="AF246" s="57"/>
      <c r="AG246" s="57"/>
      <c r="AH246" s="57"/>
      <c r="AI246" s="57"/>
      <c r="AJ246" s="57"/>
      <c r="AK246" s="57"/>
      <c r="AL246" s="57"/>
      <c r="AM246" s="57"/>
      <c r="AN246" s="76"/>
      <c r="AO246" s="45"/>
      <c r="AP246" s="57"/>
      <c r="AQ246" s="57"/>
      <c r="AR246" s="57"/>
      <c r="AS246" s="57"/>
      <c r="AT246" s="57"/>
      <c r="AU246" s="57"/>
      <c r="AV246" s="57"/>
      <c r="AW246" s="57"/>
    </row>
    <row r="247" spans="1:49">
      <c r="A247" s="12" t="str">
        <f>Roster!A247</f>
        <v/>
      </c>
      <c r="B247" s="28">
        <f>Roster!C247</f>
        <v>0</v>
      </c>
      <c r="C247" s="55"/>
      <c r="D247" s="56"/>
      <c r="E247" s="57"/>
      <c r="F247" s="57"/>
      <c r="G247" s="57"/>
      <c r="H247" s="57"/>
      <c r="I247" s="57"/>
      <c r="J247" s="57"/>
      <c r="K247" s="45"/>
      <c r="L247" s="58"/>
      <c r="M247" s="56"/>
      <c r="N247" s="57"/>
      <c r="O247" s="57"/>
      <c r="P247" s="57"/>
      <c r="Q247" s="57"/>
      <c r="R247" s="57"/>
      <c r="S247" s="57"/>
      <c r="T247" s="45"/>
      <c r="U247" s="76"/>
      <c r="V247" s="45"/>
      <c r="W247" s="57"/>
      <c r="X247" s="57"/>
      <c r="Y247" s="57"/>
      <c r="Z247" s="57"/>
      <c r="AA247" s="57"/>
      <c r="AB247" s="57"/>
      <c r="AC247" s="57"/>
      <c r="AD247" s="57"/>
      <c r="AE247" s="71"/>
      <c r="AF247" s="57"/>
      <c r="AG247" s="57"/>
      <c r="AH247" s="57"/>
      <c r="AI247" s="57"/>
      <c r="AJ247" s="57"/>
      <c r="AK247" s="57"/>
      <c r="AL247" s="57"/>
      <c r="AM247" s="57"/>
      <c r="AN247" s="76"/>
      <c r="AO247" s="45"/>
      <c r="AP247" s="57"/>
      <c r="AQ247" s="57"/>
      <c r="AR247" s="57"/>
      <c r="AS247" s="57"/>
      <c r="AT247" s="57"/>
      <c r="AU247" s="57"/>
      <c r="AV247" s="57"/>
      <c r="AW247" s="57"/>
    </row>
    <row r="248" spans="1:49">
      <c r="A248" s="12" t="str">
        <f>Roster!A248</f>
        <v/>
      </c>
      <c r="B248" s="28">
        <f>Roster!C248</f>
        <v>0</v>
      </c>
      <c r="C248" s="55"/>
      <c r="D248" s="56"/>
      <c r="E248" s="57"/>
      <c r="F248" s="57"/>
      <c r="G248" s="57"/>
      <c r="H248" s="57"/>
      <c r="I248" s="57"/>
      <c r="J248" s="57"/>
      <c r="K248" s="45"/>
      <c r="L248" s="58"/>
      <c r="M248" s="56"/>
      <c r="N248" s="57"/>
      <c r="O248" s="57"/>
      <c r="P248" s="57"/>
      <c r="Q248" s="57"/>
      <c r="R248" s="57"/>
      <c r="S248" s="57"/>
      <c r="T248" s="45"/>
      <c r="U248" s="76"/>
      <c r="V248" s="45"/>
      <c r="W248" s="57"/>
      <c r="X248" s="57"/>
      <c r="Y248" s="57"/>
      <c r="Z248" s="57"/>
      <c r="AA248" s="57"/>
      <c r="AB248" s="57"/>
      <c r="AC248" s="57"/>
      <c r="AD248" s="57"/>
      <c r="AE248" s="71"/>
      <c r="AF248" s="57"/>
      <c r="AG248" s="57"/>
      <c r="AH248" s="57"/>
      <c r="AI248" s="57"/>
      <c r="AJ248" s="57"/>
      <c r="AK248" s="57"/>
      <c r="AL248" s="57"/>
      <c r="AM248" s="57"/>
      <c r="AN248" s="76"/>
      <c r="AO248" s="45"/>
      <c r="AP248" s="57"/>
      <c r="AQ248" s="57"/>
      <c r="AR248" s="57"/>
      <c r="AS248" s="57"/>
      <c r="AT248" s="57"/>
      <c r="AU248" s="57"/>
      <c r="AV248" s="57"/>
      <c r="AW248" s="57"/>
    </row>
    <row r="249" spans="1:49">
      <c r="A249" s="12" t="str">
        <f>Roster!A249</f>
        <v/>
      </c>
      <c r="B249" s="28">
        <f>Roster!C249</f>
        <v>0</v>
      </c>
      <c r="C249" s="55"/>
      <c r="D249" s="56"/>
      <c r="E249" s="57"/>
      <c r="F249" s="57"/>
      <c r="G249" s="57"/>
      <c r="H249" s="57"/>
      <c r="I249" s="57"/>
      <c r="J249" s="57"/>
      <c r="K249" s="45"/>
      <c r="L249" s="58"/>
      <c r="M249" s="56"/>
      <c r="N249" s="57"/>
      <c r="O249" s="57"/>
      <c r="P249" s="57"/>
      <c r="Q249" s="57"/>
      <c r="R249" s="57"/>
      <c r="S249" s="57"/>
      <c r="T249" s="45"/>
      <c r="U249" s="76"/>
      <c r="V249" s="45"/>
      <c r="W249" s="57"/>
      <c r="X249" s="57"/>
      <c r="Y249" s="57"/>
      <c r="Z249" s="57"/>
      <c r="AA249" s="57"/>
      <c r="AB249" s="57"/>
      <c r="AC249" s="57"/>
      <c r="AD249" s="57"/>
      <c r="AE249" s="71"/>
      <c r="AF249" s="57"/>
      <c r="AG249" s="57"/>
      <c r="AH249" s="57"/>
      <c r="AI249" s="57"/>
      <c r="AJ249" s="57"/>
      <c r="AK249" s="57"/>
      <c r="AL249" s="57"/>
      <c r="AM249" s="57"/>
      <c r="AN249" s="76"/>
      <c r="AO249" s="45"/>
      <c r="AP249" s="57"/>
      <c r="AQ249" s="57"/>
      <c r="AR249" s="57"/>
      <c r="AS249" s="57"/>
      <c r="AT249" s="57"/>
      <c r="AU249" s="57"/>
      <c r="AV249" s="57"/>
      <c r="AW249" s="57"/>
    </row>
    <row r="250" spans="1:49">
      <c r="A250" s="12" t="str">
        <f>Roster!A250</f>
        <v/>
      </c>
      <c r="B250" s="28">
        <f>Roster!C250</f>
        <v>0</v>
      </c>
      <c r="C250" s="55"/>
      <c r="D250" s="56"/>
      <c r="E250" s="57"/>
      <c r="F250" s="57"/>
      <c r="G250" s="57"/>
      <c r="H250" s="57"/>
      <c r="I250" s="57"/>
      <c r="J250" s="57"/>
      <c r="K250" s="45"/>
      <c r="L250" s="58"/>
      <c r="M250" s="56"/>
      <c r="N250" s="57"/>
      <c r="O250" s="57"/>
      <c r="P250" s="57"/>
      <c r="Q250" s="57"/>
      <c r="R250" s="57"/>
      <c r="S250" s="57"/>
      <c r="T250" s="45"/>
      <c r="U250" s="76"/>
      <c r="V250" s="45"/>
      <c r="W250" s="57"/>
      <c r="X250" s="57"/>
      <c r="Y250" s="57"/>
      <c r="Z250" s="57"/>
      <c r="AA250" s="57"/>
      <c r="AB250" s="57"/>
      <c r="AC250" s="57"/>
      <c r="AD250" s="57"/>
      <c r="AE250" s="71"/>
      <c r="AF250" s="57"/>
      <c r="AG250" s="57"/>
      <c r="AH250" s="57"/>
      <c r="AI250" s="57"/>
      <c r="AJ250" s="57"/>
      <c r="AK250" s="57"/>
      <c r="AL250" s="57"/>
      <c r="AM250" s="57"/>
      <c r="AN250" s="76"/>
      <c r="AO250" s="45"/>
      <c r="AP250" s="57"/>
      <c r="AQ250" s="57"/>
      <c r="AR250" s="57"/>
      <c r="AS250" s="57"/>
      <c r="AT250" s="57"/>
      <c r="AU250" s="57"/>
      <c r="AV250" s="57"/>
      <c r="AW250" s="57"/>
    </row>
    <row r="251" spans="1:49">
      <c r="A251" s="12" t="str">
        <f>Roster!A251</f>
        <v/>
      </c>
      <c r="B251" s="28">
        <f>Roster!C251</f>
        <v>0</v>
      </c>
      <c r="C251" s="55"/>
      <c r="D251" s="56"/>
      <c r="E251" s="57"/>
      <c r="F251" s="57"/>
      <c r="G251" s="57"/>
      <c r="H251" s="57"/>
      <c r="I251" s="57"/>
      <c r="J251" s="57"/>
      <c r="K251" s="45"/>
      <c r="L251" s="58"/>
      <c r="M251" s="56"/>
      <c r="N251" s="57"/>
      <c r="O251" s="57"/>
      <c r="P251" s="57"/>
      <c r="Q251" s="57"/>
      <c r="R251" s="57"/>
      <c r="S251" s="57"/>
      <c r="T251" s="45"/>
      <c r="U251" s="76"/>
      <c r="V251" s="45"/>
      <c r="W251" s="57"/>
      <c r="X251" s="57"/>
      <c r="Y251" s="57"/>
      <c r="Z251" s="57"/>
      <c r="AA251" s="57"/>
      <c r="AB251" s="57"/>
      <c r="AC251" s="57"/>
      <c r="AD251" s="57"/>
      <c r="AE251" s="71"/>
      <c r="AF251" s="57"/>
      <c r="AG251" s="57"/>
      <c r="AH251" s="57"/>
      <c r="AI251" s="57"/>
      <c r="AJ251" s="57"/>
      <c r="AK251" s="57"/>
      <c r="AL251" s="57"/>
      <c r="AM251" s="57"/>
      <c r="AN251" s="76"/>
      <c r="AO251" s="45"/>
      <c r="AP251" s="57"/>
      <c r="AQ251" s="57"/>
      <c r="AR251" s="57"/>
      <c r="AS251" s="57"/>
      <c r="AT251" s="57"/>
      <c r="AU251" s="57"/>
      <c r="AV251" s="57"/>
      <c r="AW251" s="57"/>
    </row>
    <row r="252" spans="1:49">
      <c r="A252" s="12" t="str">
        <f>Roster!A252</f>
        <v/>
      </c>
      <c r="B252" s="28">
        <f>Roster!C252</f>
        <v>0</v>
      </c>
      <c r="C252" s="55"/>
      <c r="D252" s="56"/>
      <c r="E252" s="57"/>
      <c r="F252" s="57"/>
      <c r="G252" s="57"/>
      <c r="H252" s="57"/>
      <c r="I252" s="57"/>
      <c r="J252" s="57"/>
      <c r="K252" s="45"/>
      <c r="L252" s="58"/>
      <c r="M252" s="56"/>
      <c r="N252" s="57"/>
      <c r="O252" s="57"/>
      <c r="P252" s="57"/>
      <c r="Q252" s="57"/>
      <c r="R252" s="57"/>
      <c r="S252" s="57"/>
      <c r="T252" s="45"/>
      <c r="U252" s="76"/>
      <c r="V252" s="45"/>
      <c r="W252" s="57"/>
      <c r="X252" s="57"/>
      <c r="Y252" s="57"/>
      <c r="Z252" s="57"/>
      <c r="AA252" s="57"/>
      <c r="AB252" s="57"/>
      <c r="AC252" s="57"/>
      <c r="AD252" s="57"/>
      <c r="AE252" s="71"/>
      <c r="AF252" s="57"/>
      <c r="AG252" s="57"/>
      <c r="AH252" s="57"/>
      <c r="AI252" s="57"/>
      <c r="AJ252" s="57"/>
      <c r="AK252" s="57"/>
      <c r="AL252" s="57"/>
      <c r="AM252" s="57"/>
      <c r="AN252" s="76"/>
      <c r="AO252" s="45"/>
      <c r="AP252" s="57"/>
      <c r="AQ252" s="57"/>
      <c r="AR252" s="57"/>
      <c r="AS252" s="57"/>
      <c r="AT252" s="57"/>
      <c r="AU252" s="57"/>
      <c r="AV252" s="57"/>
      <c r="AW252" s="57"/>
    </row>
    <row r="253" spans="1:49">
      <c r="A253" s="12" t="str">
        <f>Roster!A253</f>
        <v/>
      </c>
      <c r="B253" s="28">
        <f>Roster!C253</f>
        <v>0</v>
      </c>
      <c r="C253" s="55"/>
      <c r="D253" s="56"/>
      <c r="E253" s="57"/>
      <c r="F253" s="57"/>
      <c r="G253" s="57"/>
      <c r="H253" s="57"/>
      <c r="I253" s="57"/>
      <c r="J253" s="57"/>
      <c r="K253" s="45"/>
      <c r="L253" s="58"/>
      <c r="M253" s="56"/>
      <c r="N253" s="57"/>
      <c r="O253" s="57"/>
      <c r="P253" s="57"/>
      <c r="Q253" s="57"/>
      <c r="R253" s="57"/>
      <c r="S253" s="57"/>
      <c r="T253" s="45"/>
      <c r="U253" s="76"/>
      <c r="V253" s="45"/>
      <c r="W253" s="57"/>
      <c r="X253" s="57"/>
      <c r="Y253" s="57"/>
      <c r="Z253" s="57"/>
      <c r="AA253" s="57"/>
      <c r="AB253" s="57"/>
      <c r="AC253" s="57"/>
      <c r="AD253" s="57"/>
      <c r="AE253" s="71"/>
      <c r="AF253" s="57"/>
      <c r="AG253" s="57"/>
      <c r="AH253" s="57"/>
      <c r="AI253" s="57"/>
      <c r="AJ253" s="57"/>
      <c r="AK253" s="57"/>
      <c r="AL253" s="57"/>
      <c r="AM253" s="57"/>
      <c r="AN253" s="76"/>
      <c r="AO253" s="45"/>
      <c r="AP253" s="57"/>
      <c r="AQ253" s="57"/>
      <c r="AR253" s="57"/>
      <c r="AS253" s="57"/>
      <c r="AT253" s="57"/>
      <c r="AU253" s="57"/>
      <c r="AV253" s="57"/>
      <c r="AW253" s="57"/>
    </row>
    <row r="254" spans="1:49">
      <c r="A254" s="12" t="str">
        <f>Roster!A254</f>
        <v/>
      </c>
      <c r="B254" s="28">
        <f>Roster!C254</f>
        <v>0</v>
      </c>
      <c r="C254" s="55"/>
      <c r="D254" s="56"/>
      <c r="E254" s="57"/>
      <c r="F254" s="57"/>
      <c r="G254" s="57"/>
      <c r="H254" s="57"/>
      <c r="I254" s="57"/>
      <c r="J254" s="57"/>
      <c r="K254" s="45"/>
      <c r="L254" s="58"/>
      <c r="M254" s="56"/>
      <c r="N254" s="57"/>
      <c r="O254" s="57"/>
      <c r="P254" s="57"/>
      <c r="Q254" s="57"/>
      <c r="R254" s="57"/>
      <c r="S254" s="57"/>
      <c r="T254" s="45"/>
      <c r="U254" s="76"/>
      <c r="V254" s="45"/>
      <c r="W254" s="57"/>
      <c r="X254" s="57"/>
      <c r="Y254" s="57"/>
      <c r="Z254" s="57"/>
      <c r="AA254" s="57"/>
      <c r="AB254" s="57"/>
      <c r="AC254" s="57"/>
      <c r="AD254" s="57"/>
      <c r="AE254" s="71"/>
      <c r="AF254" s="57"/>
      <c r="AG254" s="57"/>
      <c r="AH254" s="57"/>
      <c r="AI254" s="57"/>
      <c r="AJ254" s="57"/>
      <c r="AK254" s="57"/>
      <c r="AL254" s="57"/>
      <c r="AM254" s="57"/>
      <c r="AN254" s="76"/>
      <c r="AO254" s="45"/>
      <c r="AP254" s="57"/>
      <c r="AQ254" s="57"/>
      <c r="AR254" s="57"/>
      <c r="AS254" s="57"/>
      <c r="AT254" s="57"/>
      <c r="AU254" s="57"/>
      <c r="AV254" s="57"/>
      <c r="AW254" s="57"/>
    </row>
    <row r="255" spans="1:49">
      <c r="A255" s="12" t="str">
        <f>Roster!A255</f>
        <v/>
      </c>
      <c r="B255" s="28">
        <f>Roster!C255</f>
        <v>0</v>
      </c>
      <c r="C255" s="55"/>
      <c r="D255" s="56"/>
      <c r="E255" s="57"/>
      <c r="F255" s="57"/>
      <c r="G255" s="57"/>
      <c r="H255" s="57"/>
      <c r="I255" s="57"/>
      <c r="J255" s="57"/>
      <c r="K255" s="45"/>
      <c r="L255" s="58"/>
      <c r="M255" s="56"/>
      <c r="N255" s="57"/>
      <c r="O255" s="57"/>
      <c r="P255" s="57"/>
      <c r="Q255" s="57"/>
      <c r="R255" s="57"/>
      <c r="S255" s="57"/>
      <c r="T255" s="45"/>
      <c r="U255" s="76"/>
      <c r="V255" s="45"/>
      <c r="W255" s="57"/>
      <c r="X255" s="57"/>
      <c r="Y255" s="57"/>
      <c r="Z255" s="57"/>
      <c r="AA255" s="57"/>
      <c r="AB255" s="57"/>
      <c r="AC255" s="57"/>
      <c r="AD255" s="57"/>
      <c r="AE255" s="71"/>
      <c r="AF255" s="57"/>
      <c r="AG255" s="57"/>
      <c r="AH255" s="57"/>
      <c r="AI255" s="57"/>
      <c r="AJ255" s="57"/>
      <c r="AK255" s="57"/>
      <c r="AL255" s="57"/>
      <c r="AM255" s="57"/>
      <c r="AN255" s="76"/>
      <c r="AO255" s="45"/>
      <c r="AP255" s="57"/>
      <c r="AQ255" s="57"/>
      <c r="AR255" s="57"/>
      <c r="AS255" s="57"/>
      <c r="AT255" s="57"/>
      <c r="AU255" s="57"/>
      <c r="AV255" s="57"/>
      <c r="AW255" s="57"/>
    </row>
    <row r="256" spans="1:49">
      <c r="A256" s="12" t="str">
        <f>Roster!A256</f>
        <v/>
      </c>
      <c r="B256" s="28">
        <f>Roster!C256</f>
        <v>0</v>
      </c>
      <c r="C256" s="55"/>
      <c r="D256" s="56"/>
      <c r="E256" s="57"/>
      <c r="F256" s="57"/>
      <c r="G256" s="57"/>
      <c r="H256" s="57"/>
      <c r="I256" s="57"/>
      <c r="J256" s="57"/>
      <c r="K256" s="45"/>
      <c r="L256" s="58"/>
      <c r="M256" s="56"/>
      <c r="N256" s="57"/>
      <c r="O256" s="57"/>
      <c r="P256" s="57"/>
      <c r="Q256" s="57"/>
      <c r="R256" s="57"/>
      <c r="S256" s="57"/>
      <c r="T256" s="45"/>
      <c r="U256" s="76"/>
      <c r="V256" s="45"/>
      <c r="W256" s="57"/>
      <c r="X256" s="57"/>
      <c r="Y256" s="57"/>
      <c r="Z256" s="57"/>
      <c r="AA256" s="57"/>
      <c r="AB256" s="57"/>
      <c r="AC256" s="57"/>
      <c r="AD256" s="57"/>
      <c r="AE256" s="71"/>
      <c r="AF256" s="57"/>
      <c r="AG256" s="57"/>
      <c r="AH256" s="57"/>
      <c r="AI256" s="57"/>
      <c r="AJ256" s="57"/>
      <c r="AK256" s="57"/>
      <c r="AL256" s="57"/>
      <c r="AM256" s="57"/>
      <c r="AN256" s="76"/>
      <c r="AO256" s="45"/>
      <c r="AP256" s="57"/>
      <c r="AQ256" s="57"/>
      <c r="AR256" s="57"/>
      <c r="AS256" s="57"/>
      <c r="AT256" s="57"/>
      <c r="AU256" s="57"/>
      <c r="AV256" s="57"/>
      <c r="AW256" s="57"/>
    </row>
    <row r="257" spans="1:49">
      <c r="A257" s="12" t="str">
        <f>Roster!A257</f>
        <v/>
      </c>
      <c r="B257" s="28">
        <f>Roster!C257</f>
        <v>0</v>
      </c>
      <c r="C257" s="55"/>
      <c r="D257" s="56"/>
      <c r="E257" s="57"/>
      <c r="F257" s="57"/>
      <c r="G257" s="57"/>
      <c r="H257" s="57"/>
      <c r="I257" s="57"/>
      <c r="J257" s="57"/>
      <c r="K257" s="45"/>
      <c r="L257" s="58"/>
      <c r="M257" s="56"/>
      <c r="N257" s="57"/>
      <c r="O257" s="57"/>
      <c r="P257" s="57"/>
      <c r="Q257" s="57"/>
      <c r="R257" s="57"/>
      <c r="S257" s="57"/>
      <c r="T257" s="45"/>
      <c r="U257" s="76"/>
      <c r="V257" s="45"/>
      <c r="W257" s="57"/>
      <c r="X257" s="57"/>
      <c r="Y257" s="57"/>
      <c r="Z257" s="57"/>
      <c r="AA257" s="57"/>
      <c r="AB257" s="57"/>
      <c r="AC257" s="57"/>
      <c r="AD257" s="57"/>
      <c r="AE257" s="71"/>
      <c r="AF257" s="57"/>
      <c r="AG257" s="57"/>
      <c r="AH257" s="57"/>
      <c r="AI257" s="57"/>
      <c r="AJ257" s="57"/>
      <c r="AK257" s="57"/>
      <c r="AL257" s="57"/>
      <c r="AM257" s="57"/>
      <c r="AN257" s="76"/>
      <c r="AO257" s="45"/>
      <c r="AP257" s="57"/>
      <c r="AQ257" s="57"/>
      <c r="AR257" s="57"/>
      <c r="AS257" s="57"/>
      <c r="AT257" s="57"/>
      <c r="AU257" s="57"/>
      <c r="AV257" s="57"/>
      <c r="AW257" s="57"/>
    </row>
    <row r="258" spans="1:49">
      <c r="A258" s="12" t="str">
        <f>Roster!A258</f>
        <v/>
      </c>
      <c r="B258" s="28">
        <f>Roster!C258</f>
        <v>0</v>
      </c>
      <c r="C258" s="55"/>
      <c r="D258" s="56"/>
      <c r="E258" s="57"/>
      <c r="F258" s="57"/>
      <c r="G258" s="57"/>
      <c r="H258" s="57"/>
      <c r="I258" s="57"/>
      <c r="J258" s="57"/>
      <c r="K258" s="45"/>
      <c r="L258" s="58"/>
      <c r="M258" s="56"/>
      <c r="N258" s="57"/>
      <c r="O258" s="57"/>
      <c r="P258" s="57"/>
      <c r="Q258" s="57"/>
      <c r="R258" s="57"/>
      <c r="S258" s="57"/>
      <c r="T258" s="45"/>
      <c r="U258" s="76"/>
      <c r="V258" s="45"/>
      <c r="W258" s="57"/>
      <c r="X258" s="57"/>
      <c r="Y258" s="57"/>
      <c r="Z258" s="57"/>
      <c r="AA258" s="57"/>
      <c r="AB258" s="57"/>
      <c r="AC258" s="57"/>
      <c r="AD258" s="57"/>
      <c r="AE258" s="71"/>
      <c r="AF258" s="57"/>
      <c r="AG258" s="57"/>
      <c r="AH258" s="57"/>
      <c r="AI258" s="57"/>
      <c r="AJ258" s="57"/>
      <c r="AK258" s="57"/>
      <c r="AL258" s="57"/>
      <c r="AM258" s="57"/>
      <c r="AN258" s="76"/>
      <c r="AO258" s="45"/>
      <c r="AP258" s="57"/>
      <c r="AQ258" s="57"/>
      <c r="AR258" s="57"/>
      <c r="AS258" s="57"/>
      <c r="AT258" s="57"/>
      <c r="AU258" s="57"/>
      <c r="AV258" s="57"/>
      <c r="AW258" s="57"/>
    </row>
    <row r="259" spans="1:49">
      <c r="A259" s="12" t="str">
        <f>Roster!A259</f>
        <v/>
      </c>
      <c r="B259" s="28">
        <f>Roster!C259</f>
        <v>0</v>
      </c>
      <c r="C259" s="55"/>
      <c r="D259" s="56"/>
      <c r="E259" s="57"/>
      <c r="F259" s="57"/>
      <c r="G259" s="57"/>
      <c r="H259" s="57"/>
      <c r="I259" s="57"/>
      <c r="J259" s="57"/>
      <c r="K259" s="45"/>
      <c r="L259" s="58"/>
      <c r="M259" s="56"/>
      <c r="N259" s="57"/>
      <c r="O259" s="57"/>
      <c r="P259" s="57"/>
      <c r="Q259" s="57"/>
      <c r="R259" s="57"/>
      <c r="S259" s="57"/>
      <c r="T259" s="45"/>
      <c r="U259" s="76"/>
      <c r="V259" s="45"/>
      <c r="W259" s="57"/>
      <c r="X259" s="57"/>
      <c r="Y259" s="57"/>
      <c r="Z259" s="57"/>
      <c r="AA259" s="57"/>
      <c r="AB259" s="57"/>
      <c r="AC259" s="57"/>
      <c r="AD259" s="57"/>
      <c r="AE259" s="71"/>
      <c r="AF259" s="57"/>
      <c r="AG259" s="57"/>
      <c r="AH259" s="57"/>
      <c r="AI259" s="57"/>
      <c r="AJ259" s="57"/>
      <c r="AK259" s="57"/>
      <c r="AL259" s="57"/>
      <c r="AM259" s="57"/>
      <c r="AN259" s="76"/>
      <c r="AO259" s="45"/>
      <c r="AP259" s="57"/>
      <c r="AQ259" s="57"/>
      <c r="AR259" s="57"/>
      <c r="AS259" s="57"/>
      <c r="AT259" s="57"/>
      <c r="AU259" s="57"/>
      <c r="AV259" s="57"/>
      <c r="AW259" s="57"/>
    </row>
    <row r="260" spans="1:49">
      <c r="A260" s="12" t="str">
        <f>Roster!A260</f>
        <v/>
      </c>
      <c r="B260" s="28">
        <f>Roster!C260</f>
        <v>0</v>
      </c>
      <c r="C260" s="55"/>
      <c r="D260" s="56"/>
      <c r="E260" s="57"/>
      <c r="F260" s="57"/>
      <c r="G260" s="57"/>
      <c r="H260" s="57"/>
      <c r="I260" s="57"/>
      <c r="J260" s="57"/>
      <c r="K260" s="45"/>
      <c r="L260" s="58"/>
      <c r="M260" s="56"/>
      <c r="N260" s="57"/>
      <c r="O260" s="57"/>
      <c r="P260" s="57"/>
      <c r="Q260" s="57"/>
      <c r="R260" s="57"/>
      <c r="S260" s="57"/>
      <c r="T260" s="45"/>
      <c r="U260" s="76"/>
      <c r="V260" s="45"/>
      <c r="W260" s="57"/>
      <c r="X260" s="57"/>
      <c r="Y260" s="57"/>
      <c r="Z260" s="57"/>
      <c r="AA260" s="57"/>
      <c r="AB260" s="57"/>
      <c r="AC260" s="57"/>
      <c r="AD260" s="57"/>
      <c r="AE260" s="71"/>
      <c r="AF260" s="57"/>
      <c r="AG260" s="57"/>
      <c r="AH260" s="57"/>
      <c r="AI260" s="57"/>
      <c r="AJ260" s="57"/>
      <c r="AK260" s="57"/>
      <c r="AL260" s="57"/>
      <c r="AM260" s="57"/>
      <c r="AN260" s="76"/>
      <c r="AO260" s="45"/>
      <c r="AP260" s="57"/>
      <c r="AQ260" s="57"/>
      <c r="AR260" s="57"/>
      <c r="AS260" s="57"/>
      <c r="AT260" s="57"/>
      <c r="AU260" s="57"/>
      <c r="AV260" s="57"/>
      <c r="AW260" s="57"/>
    </row>
    <row r="261" spans="1:49">
      <c r="A261" s="12" t="str">
        <f>Roster!A261</f>
        <v/>
      </c>
      <c r="B261" s="28">
        <f>Roster!C261</f>
        <v>0</v>
      </c>
      <c r="C261" s="55"/>
      <c r="D261" s="56"/>
      <c r="E261" s="57"/>
      <c r="F261" s="57"/>
      <c r="G261" s="57"/>
      <c r="H261" s="57"/>
      <c r="I261" s="57"/>
      <c r="J261" s="57"/>
      <c r="K261" s="45"/>
      <c r="L261" s="58"/>
      <c r="M261" s="56"/>
      <c r="N261" s="57"/>
      <c r="O261" s="57"/>
      <c r="P261" s="57"/>
      <c r="Q261" s="57"/>
      <c r="R261" s="57"/>
      <c r="S261" s="57"/>
      <c r="T261" s="45"/>
      <c r="U261" s="76"/>
      <c r="V261" s="45"/>
      <c r="W261" s="57"/>
      <c r="X261" s="57"/>
      <c r="Y261" s="57"/>
      <c r="Z261" s="57"/>
      <c r="AA261" s="57"/>
      <c r="AB261" s="57"/>
      <c r="AC261" s="57"/>
      <c r="AD261" s="57"/>
      <c r="AE261" s="71"/>
      <c r="AF261" s="57"/>
      <c r="AG261" s="57"/>
      <c r="AH261" s="57"/>
      <c r="AI261" s="57"/>
      <c r="AJ261" s="57"/>
      <c r="AK261" s="57"/>
      <c r="AL261" s="57"/>
      <c r="AM261" s="57"/>
      <c r="AN261" s="76"/>
      <c r="AO261" s="45"/>
      <c r="AP261" s="57"/>
      <c r="AQ261" s="57"/>
      <c r="AR261" s="57"/>
      <c r="AS261" s="57"/>
      <c r="AT261" s="57"/>
      <c r="AU261" s="57"/>
      <c r="AV261" s="57"/>
      <c r="AW261" s="57"/>
    </row>
    <row r="262" spans="1:49">
      <c r="A262" s="12" t="str">
        <f>Roster!A262</f>
        <v/>
      </c>
      <c r="B262" s="28">
        <f>Roster!C262</f>
        <v>0</v>
      </c>
      <c r="C262" s="55"/>
      <c r="D262" s="56"/>
      <c r="E262" s="57"/>
      <c r="F262" s="57"/>
      <c r="G262" s="57"/>
      <c r="H262" s="57"/>
      <c r="I262" s="57"/>
      <c r="J262" s="57"/>
      <c r="K262" s="45"/>
      <c r="L262" s="58"/>
      <c r="M262" s="56"/>
      <c r="N262" s="57"/>
      <c r="O262" s="57"/>
      <c r="P262" s="57"/>
      <c r="Q262" s="57"/>
      <c r="R262" s="57"/>
      <c r="S262" s="57"/>
      <c r="T262" s="45"/>
      <c r="U262" s="76"/>
      <c r="V262" s="45"/>
      <c r="W262" s="57"/>
      <c r="X262" s="57"/>
      <c r="Y262" s="57"/>
      <c r="Z262" s="57"/>
      <c r="AA262" s="57"/>
      <c r="AB262" s="57"/>
      <c r="AC262" s="57"/>
      <c r="AD262" s="57"/>
      <c r="AE262" s="71"/>
      <c r="AF262" s="57"/>
      <c r="AG262" s="57"/>
      <c r="AH262" s="57"/>
      <c r="AI262" s="57"/>
      <c r="AJ262" s="57"/>
      <c r="AK262" s="57"/>
      <c r="AL262" s="57"/>
      <c r="AM262" s="57"/>
      <c r="AN262" s="76"/>
      <c r="AO262" s="45"/>
      <c r="AP262" s="57"/>
      <c r="AQ262" s="57"/>
      <c r="AR262" s="57"/>
      <c r="AS262" s="57"/>
      <c r="AT262" s="57"/>
      <c r="AU262" s="57"/>
      <c r="AV262" s="57"/>
      <c r="AW262" s="57"/>
    </row>
    <row r="263" spans="1:49">
      <c r="A263" s="12" t="str">
        <f>Roster!A263</f>
        <v/>
      </c>
      <c r="B263" s="28">
        <f>Roster!C263</f>
        <v>0</v>
      </c>
      <c r="C263" s="55"/>
      <c r="D263" s="56"/>
      <c r="E263" s="57"/>
      <c r="F263" s="57"/>
      <c r="G263" s="57"/>
      <c r="H263" s="57"/>
      <c r="I263" s="57"/>
      <c r="J263" s="57"/>
      <c r="K263" s="45"/>
      <c r="L263" s="58"/>
      <c r="M263" s="56"/>
      <c r="N263" s="57"/>
      <c r="O263" s="57"/>
      <c r="P263" s="57"/>
      <c r="Q263" s="57"/>
      <c r="R263" s="57"/>
      <c r="S263" s="57"/>
      <c r="T263" s="45"/>
      <c r="U263" s="76"/>
      <c r="V263" s="45"/>
      <c r="W263" s="57"/>
      <c r="X263" s="57"/>
      <c r="Y263" s="57"/>
      <c r="Z263" s="57"/>
      <c r="AA263" s="57"/>
      <c r="AB263" s="57"/>
      <c r="AC263" s="57"/>
      <c r="AD263" s="57"/>
      <c r="AE263" s="71"/>
      <c r="AF263" s="57"/>
      <c r="AG263" s="57"/>
      <c r="AH263" s="57"/>
      <c r="AI263" s="57"/>
      <c r="AJ263" s="57"/>
      <c r="AK263" s="57"/>
      <c r="AL263" s="57"/>
      <c r="AM263" s="57"/>
      <c r="AN263" s="76"/>
      <c r="AO263" s="45"/>
      <c r="AP263" s="57"/>
      <c r="AQ263" s="57"/>
      <c r="AR263" s="57"/>
      <c r="AS263" s="57"/>
      <c r="AT263" s="57"/>
      <c r="AU263" s="57"/>
      <c r="AV263" s="57"/>
      <c r="AW263" s="57"/>
    </row>
    <row r="264" spans="1:49">
      <c r="A264" s="12" t="str">
        <f>Roster!A264</f>
        <v/>
      </c>
      <c r="B264" s="28">
        <f>Roster!C264</f>
        <v>0</v>
      </c>
      <c r="C264" s="55"/>
      <c r="D264" s="56"/>
      <c r="E264" s="57"/>
      <c r="F264" s="57"/>
      <c r="G264" s="57"/>
      <c r="H264" s="57"/>
      <c r="I264" s="57"/>
      <c r="J264" s="57"/>
      <c r="K264" s="45"/>
      <c r="L264" s="58"/>
      <c r="M264" s="56"/>
      <c r="N264" s="57"/>
      <c r="O264" s="57"/>
      <c r="P264" s="57"/>
      <c r="Q264" s="57"/>
      <c r="R264" s="57"/>
      <c r="S264" s="57"/>
      <c r="T264" s="45"/>
      <c r="U264" s="76"/>
      <c r="V264" s="45"/>
      <c r="W264" s="57"/>
      <c r="X264" s="57"/>
      <c r="Y264" s="57"/>
      <c r="Z264" s="57"/>
      <c r="AA264" s="57"/>
      <c r="AB264" s="57"/>
      <c r="AC264" s="57"/>
      <c r="AD264" s="57"/>
      <c r="AE264" s="71"/>
      <c r="AF264" s="57"/>
      <c r="AG264" s="57"/>
      <c r="AH264" s="57"/>
      <c r="AI264" s="57"/>
      <c r="AJ264" s="57"/>
      <c r="AK264" s="57"/>
      <c r="AL264" s="57"/>
      <c r="AM264" s="57"/>
      <c r="AN264" s="76"/>
      <c r="AO264" s="45"/>
      <c r="AP264" s="57"/>
      <c r="AQ264" s="57"/>
      <c r="AR264" s="57"/>
      <c r="AS264" s="57"/>
      <c r="AT264" s="57"/>
      <c r="AU264" s="57"/>
      <c r="AV264" s="57"/>
      <c r="AW264" s="57"/>
    </row>
    <row r="265" spans="1:49">
      <c r="A265" s="12" t="str">
        <f>Roster!A265</f>
        <v/>
      </c>
      <c r="B265" s="28">
        <f>Roster!C265</f>
        <v>0</v>
      </c>
      <c r="C265" s="55"/>
      <c r="D265" s="56"/>
      <c r="E265" s="57"/>
      <c r="F265" s="57"/>
      <c r="G265" s="57"/>
      <c r="H265" s="57"/>
      <c r="I265" s="57"/>
      <c r="J265" s="57"/>
      <c r="K265" s="45"/>
      <c r="L265" s="58"/>
      <c r="M265" s="56"/>
      <c r="N265" s="57"/>
      <c r="O265" s="57"/>
      <c r="P265" s="57"/>
      <c r="Q265" s="57"/>
      <c r="R265" s="57"/>
      <c r="S265" s="57"/>
      <c r="T265" s="45"/>
      <c r="U265" s="76"/>
      <c r="V265" s="45"/>
      <c r="W265" s="57"/>
      <c r="X265" s="57"/>
      <c r="Y265" s="57"/>
      <c r="Z265" s="57"/>
      <c r="AA265" s="57"/>
      <c r="AB265" s="57"/>
      <c r="AC265" s="57"/>
      <c r="AD265" s="57"/>
      <c r="AE265" s="71"/>
      <c r="AF265" s="57"/>
      <c r="AG265" s="57"/>
      <c r="AH265" s="57"/>
      <c r="AI265" s="57"/>
      <c r="AJ265" s="57"/>
      <c r="AK265" s="57"/>
      <c r="AL265" s="57"/>
      <c r="AM265" s="57"/>
      <c r="AN265" s="76"/>
      <c r="AO265" s="45"/>
      <c r="AP265" s="57"/>
      <c r="AQ265" s="57"/>
      <c r="AR265" s="57"/>
      <c r="AS265" s="57"/>
      <c r="AT265" s="57"/>
      <c r="AU265" s="57"/>
      <c r="AV265" s="57"/>
      <c r="AW265" s="57"/>
    </row>
    <row r="266" spans="1:49">
      <c r="A266" s="12" t="str">
        <f>Roster!A266</f>
        <v/>
      </c>
      <c r="B266" s="28">
        <f>Roster!C266</f>
        <v>0</v>
      </c>
      <c r="C266" s="55"/>
      <c r="D266" s="56"/>
      <c r="E266" s="57"/>
      <c r="F266" s="57"/>
      <c r="G266" s="57"/>
      <c r="H266" s="57"/>
      <c r="I266" s="57"/>
      <c r="J266" s="57"/>
      <c r="K266" s="45"/>
      <c r="L266" s="58"/>
      <c r="M266" s="56"/>
      <c r="N266" s="57"/>
      <c r="O266" s="57"/>
      <c r="P266" s="57"/>
      <c r="Q266" s="57"/>
      <c r="R266" s="57"/>
      <c r="S266" s="57"/>
      <c r="T266" s="45"/>
      <c r="U266" s="76"/>
      <c r="V266" s="45"/>
      <c r="W266" s="57"/>
      <c r="X266" s="57"/>
      <c r="Y266" s="57"/>
      <c r="Z266" s="57"/>
      <c r="AA266" s="57"/>
      <c r="AB266" s="57"/>
      <c r="AC266" s="57"/>
      <c r="AD266" s="57"/>
      <c r="AE266" s="71"/>
      <c r="AF266" s="57"/>
      <c r="AG266" s="57"/>
      <c r="AH266" s="57"/>
      <c r="AI266" s="57"/>
      <c r="AJ266" s="57"/>
      <c r="AK266" s="57"/>
      <c r="AL266" s="57"/>
      <c r="AM266" s="57"/>
      <c r="AN266" s="76"/>
      <c r="AO266" s="45"/>
      <c r="AP266" s="57"/>
      <c r="AQ266" s="57"/>
      <c r="AR266" s="57"/>
      <c r="AS266" s="57"/>
      <c r="AT266" s="57"/>
      <c r="AU266" s="57"/>
      <c r="AV266" s="57"/>
      <c r="AW266" s="57"/>
    </row>
    <row r="267" spans="1:49">
      <c r="A267" s="12" t="str">
        <f>Roster!A267</f>
        <v/>
      </c>
      <c r="B267" s="28">
        <f>Roster!C267</f>
        <v>0</v>
      </c>
      <c r="C267" s="55"/>
      <c r="D267" s="56"/>
      <c r="E267" s="57"/>
      <c r="F267" s="57"/>
      <c r="G267" s="57"/>
      <c r="H267" s="57"/>
      <c r="I267" s="57"/>
      <c r="J267" s="57"/>
      <c r="K267" s="45"/>
      <c r="L267" s="58"/>
      <c r="M267" s="56"/>
      <c r="N267" s="57"/>
      <c r="O267" s="57"/>
      <c r="P267" s="57"/>
      <c r="Q267" s="57"/>
      <c r="R267" s="57"/>
      <c r="S267" s="57"/>
      <c r="T267" s="45"/>
      <c r="U267" s="76"/>
      <c r="V267" s="45"/>
      <c r="W267" s="57"/>
      <c r="X267" s="57"/>
      <c r="Y267" s="57"/>
      <c r="Z267" s="57"/>
      <c r="AA267" s="57"/>
      <c r="AB267" s="57"/>
      <c r="AC267" s="57"/>
      <c r="AD267" s="57"/>
      <c r="AE267" s="71"/>
      <c r="AF267" s="57"/>
      <c r="AG267" s="57"/>
      <c r="AH267" s="57"/>
      <c r="AI267" s="57"/>
      <c r="AJ267" s="57"/>
      <c r="AK267" s="57"/>
      <c r="AL267" s="57"/>
      <c r="AM267" s="57"/>
      <c r="AN267" s="76"/>
      <c r="AO267" s="45"/>
      <c r="AP267" s="57"/>
      <c r="AQ267" s="57"/>
      <c r="AR267" s="57"/>
      <c r="AS267" s="57"/>
      <c r="AT267" s="57"/>
      <c r="AU267" s="57"/>
      <c r="AV267" s="57"/>
      <c r="AW267" s="57"/>
    </row>
    <row r="268" spans="1:49">
      <c r="A268" s="12" t="str">
        <f>Roster!A268</f>
        <v/>
      </c>
      <c r="B268" s="28">
        <f>Roster!C268</f>
        <v>0</v>
      </c>
      <c r="C268" s="55"/>
      <c r="D268" s="56"/>
      <c r="E268" s="57"/>
      <c r="F268" s="57"/>
      <c r="G268" s="57"/>
      <c r="H268" s="57"/>
      <c r="I268" s="57"/>
      <c r="J268" s="57"/>
      <c r="K268" s="45"/>
      <c r="L268" s="58"/>
      <c r="M268" s="56"/>
      <c r="N268" s="57"/>
      <c r="O268" s="57"/>
      <c r="P268" s="57"/>
      <c r="Q268" s="57"/>
      <c r="R268" s="57"/>
      <c r="S268" s="57"/>
      <c r="T268" s="45"/>
      <c r="U268" s="76"/>
      <c r="V268" s="45"/>
      <c r="W268" s="57"/>
      <c r="X268" s="57"/>
      <c r="Y268" s="57"/>
      <c r="Z268" s="57"/>
      <c r="AA268" s="57"/>
      <c r="AB268" s="57"/>
      <c r="AC268" s="57"/>
      <c r="AD268" s="57"/>
      <c r="AE268" s="71"/>
      <c r="AF268" s="57"/>
      <c r="AG268" s="57"/>
      <c r="AH268" s="57"/>
      <c r="AI268" s="57"/>
      <c r="AJ268" s="57"/>
      <c r="AK268" s="57"/>
      <c r="AL268" s="57"/>
      <c r="AM268" s="57"/>
      <c r="AN268" s="76"/>
      <c r="AO268" s="45"/>
      <c r="AP268" s="57"/>
      <c r="AQ268" s="57"/>
      <c r="AR268" s="57"/>
      <c r="AS268" s="57"/>
      <c r="AT268" s="57"/>
      <c r="AU268" s="57"/>
      <c r="AV268" s="57"/>
      <c r="AW268" s="57"/>
    </row>
    <row r="269" spans="1:49">
      <c r="A269" s="12" t="str">
        <f>Roster!A269</f>
        <v/>
      </c>
      <c r="B269" s="28">
        <f>Roster!C269</f>
        <v>0</v>
      </c>
      <c r="C269" s="55"/>
      <c r="D269" s="56"/>
      <c r="E269" s="57"/>
      <c r="F269" s="57"/>
      <c r="G269" s="57"/>
      <c r="H269" s="57"/>
      <c r="I269" s="57"/>
      <c r="J269" s="57"/>
      <c r="K269" s="45"/>
      <c r="L269" s="58"/>
      <c r="M269" s="56"/>
      <c r="N269" s="57"/>
      <c r="O269" s="57"/>
      <c r="P269" s="57"/>
      <c r="Q269" s="57"/>
      <c r="R269" s="57"/>
      <c r="S269" s="57"/>
      <c r="T269" s="45"/>
      <c r="U269" s="76"/>
      <c r="V269" s="45"/>
      <c r="W269" s="57"/>
      <c r="X269" s="57"/>
      <c r="Y269" s="57"/>
      <c r="Z269" s="57"/>
      <c r="AA269" s="57"/>
      <c r="AB269" s="57"/>
      <c r="AC269" s="57"/>
      <c r="AD269" s="57"/>
      <c r="AE269" s="71"/>
      <c r="AF269" s="57"/>
      <c r="AG269" s="57"/>
      <c r="AH269" s="57"/>
      <c r="AI269" s="57"/>
      <c r="AJ269" s="57"/>
      <c r="AK269" s="57"/>
      <c r="AL269" s="57"/>
      <c r="AM269" s="57"/>
      <c r="AN269" s="76"/>
      <c r="AO269" s="45"/>
      <c r="AP269" s="57"/>
      <c r="AQ269" s="57"/>
      <c r="AR269" s="57"/>
      <c r="AS269" s="57"/>
      <c r="AT269" s="57"/>
      <c r="AU269" s="57"/>
      <c r="AV269" s="57"/>
      <c r="AW269" s="57"/>
    </row>
    <row r="270" spans="1:49">
      <c r="A270" s="12" t="str">
        <f>Roster!A270</f>
        <v/>
      </c>
      <c r="B270" s="28">
        <f>Roster!C270</f>
        <v>0</v>
      </c>
      <c r="C270" s="55"/>
      <c r="D270" s="56"/>
      <c r="E270" s="57"/>
      <c r="F270" s="57"/>
      <c r="G270" s="57"/>
      <c r="H270" s="57"/>
      <c r="I270" s="57"/>
      <c r="J270" s="57"/>
      <c r="K270" s="45"/>
      <c r="L270" s="58"/>
      <c r="M270" s="56"/>
      <c r="N270" s="57"/>
      <c r="O270" s="57"/>
      <c r="P270" s="57"/>
      <c r="Q270" s="57"/>
      <c r="R270" s="57"/>
      <c r="S270" s="57"/>
      <c r="T270" s="45"/>
      <c r="U270" s="76"/>
      <c r="V270" s="45"/>
      <c r="W270" s="57"/>
      <c r="X270" s="57"/>
      <c r="Y270" s="57"/>
      <c r="Z270" s="57"/>
      <c r="AA270" s="57"/>
      <c r="AB270" s="57"/>
      <c r="AC270" s="57"/>
      <c r="AD270" s="57"/>
      <c r="AE270" s="71"/>
      <c r="AF270" s="57"/>
      <c r="AG270" s="57"/>
      <c r="AH270" s="57"/>
      <c r="AI270" s="57"/>
      <c r="AJ270" s="57"/>
      <c r="AK270" s="57"/>
      <c r="AL270" s="57"/>
      <c r="AM270" s="57"/>
      <c r="AN270" s="76"/>
      <c r="AO270" s="45"/>
      <c r="AP270" s="57"/>
      <c r="AQ270" s="57"/>
      <c r="AR270" s="57"/>
      <c r="AS270" s="57"/>
      <c r="AT270" s="57"/>
      <c r="AU270" s="57"/>
      <c r="AV270" s="57"/>
      <c r="AW270" s="57"/>
    </row>
    <row r="271" spans="1:49">
      <c r="A271" s="12" t="str">
        <f>Roster!A271</f>
        <v/>
      </c>
      <c r="B271" s="28">
        <f>Roster!C271</f>
        <v>0</v>
      </c>
      <c r="C271" s="55"/>
      <c r="D271" s="56"/>
      <c r="E271" s="57"/>
      <c r="F271" s="57"/>
      <c r="G271" s="57"/>
      <c r="H271" s="57"/>
      <c r="I271" s="57"/>
      <c r="J271" s="57"/>
      <c r="K271" s="45"/>
      <c r="L271" s="58"/>
      <c r="M271" s="56"/>
      <c r="N271" s="57"/>
      <c r="O271" s="57"/>
      <c r="P271" s="57"/>
      <c r="Q271" s="57"/>
      <c r="R271" s="57"/>
      <c r="S271" s="57"/>
      <c r="T271" s="45"/>
      <c r="U271" s="76"/>
      <c r="V271" s="45"/>
      <c r="W271" s="57"/>
      <c r="X271" s="57"/>
      <c r="Y271" s="57"/>
      <c r="Z271" s="57"/>
      <c r="AA271" s="57"/>
      <c r="AB271" s="57"/>
      <c r="AC271" s="57"/>
      <c r="AD271" s="57"/>
      <c r="AE271" s="71"/>
      <c r="AF271" s="57"/>
      <c r="AG271" s="57"/>
      <c r="AH271" s="57"/>
      <c r="AI271" s="57"/>
      <c r="AJ271" s="57"/>
      <c r="AK271" s="57"/>
      <c r="AL271" s="57"/>
      <c r="AM271" s="57"/>
      <c r="AN271" s="76"/>
      <c r="AO271" s="45"/>
      <c r="AP271" s="57"/>
      <c r="AQ271" s="57"/>
      <c r="AR271" s="57"/>
      <c r="AS271" s="57"/>
      <c r="AT271" s="57"/>
      <c r="AU271" s="57"/>
      <c r="AV271" s="57"/>
      <c r="AW271" s="57"/>
    </row>
    <row r="272" spans="1:49">
      <c r="A272" s="12" t="str">
        <f>Roster!A272</f>
        <v/>
      </c>
      <c r="B272" s="28">
        <f>Roster!C272</f>
        <v>0</v>
      </c>
      <c r="C272" s="55"/>
      <c r="D272" s="56"/>
      <c r="E272" s="57"/>
      <c r="F272" s="57"/>
      <c r="G272" s="57"/>
      <c r="H272" s="57"/>
      <c r="I272" s="57"/>
      <c r="J272" s="57"/>
      <c r="K272" s="45"/>
      <c r="L272" s="58"/>
      <c r="M272" s="56"/>
      <c r="N272" s="57"/>
      <c r="O272" s="57"/>
      <c r="P272" s="57"/>
      <c r="Q272" s="57"/>
      <c r="R272" s="57"/>
      <c r="S272" s="57"/>
      <c r="T272" s="45"/>
      <c r="U272" s="76"/>
      <c r="V272" s="45"/>
      <c r="W272" s="57"/>
      <c r="X272" s="57"/>
      <c r="Y272" s="57"/>
      <c r="Z272" s="57"/>
      <c r="AA272" s="57"/>
      <c r="AB272" s="57"/>
      <c r="AC272" s="57"/>
      <c r="AD272" s="57"/>
      <c r="AE272" s="71"/>
      <c r="AF272" s="57"/>
      <c r="AG272" s="57"/>
      <c r="AH272" s="57"/>
      <c r="AI272" s="57"/>
      <c r="AJ272" s="57"/>
      <c r="AK272" s="57"/>
      <c r="AL272" s="57"/>
      <c r="AM272" s="57"/>
      <c r="AN272" s="76"/>
      <c r="AO272" s="45"/>
      <c r="AP272" s="57"/>
      <c r="AQ272" s="57"/>
      <c r="AR272" s="57"/>
      <c r="AS272" s="57"/>
      <c r="AT272" s="57"/>
      <c r="AU272" s="57"/>
      <c r="AV272" s="57"/>
      <c r="AW272" s="57"/>
    </row>
    <row r="273" spans="1:49">
      <c r="A273" s="12" t="str">
        <f>Roster!A273</f>
        <v/>
      </c>
      <c r="B273" s="28">
        <f>Roster!C273</f>
        <v>0</v>
      </c>
      <c r="C273" s="55"/>
      <c r="D273" s="56"/>
      <c r="E273" s="57"/>
      <c r="F273" s="57"/>
      <c r="G273" s="57"/>
      <c r="H273" s="57"/>
      <c r="I273" s="57"/>
      <c r="J273" s="57"/>
      <c r="K273" s="45"/>
      <c r="L273" s="58"/>
      <c r="M273" s="56"/>
      <c r="N273" s="57"/>
      <c r="O273" s="57"/>
      <c r="P273" s="57"/>
      <c r="Q273" s="57"/>
      <c r="R273" s="57"/>
      <c r="S273" s="57"/>
      <c r="T273" s="45"/>
      <c r="U273" s="76"/>
      <c r="V273" s="45"/>
      <c r="W273" s="57"/>
      <c r="X273" s="57"/>
      <c r="Y273" s="57"/>
      <c r="Z273" s="57"/>
      <c r="AA273" s="57"/>
      <c r="AB273" s="57"/>
      <c r="AC273" s="57"/>
      <c r="AD273" s="57"/>
      <c r="AE273" s="71"/>
      <c r="AF273" s="57"/>
      <c r="AG273" s="57"/>
      <c r="AH273" s="57"/>
      <c r="AI273" s="57"/>
      <c r="AJ273" s="57"/>
      <c r="AK273" s="57"/>
      <c r="AL273" s="57"/>
      <c r="AM273" s="57"/>
      <c r="AN273" s="76"/>
      <c r="AO273" s="45"/>
      <c r="AP273" s="57"/>
      <c r="AQ273" s="57"/>
      <c r="AR273" s="57"/>
      <c r="AS273" s="57"/>
      <c r="AT273" s="57"/>
      <c r="AU273" s="57"/>
      <c r="AV273" s="57"/>
      <c r="AW273" s="57"/>
    </row>
    <row r="274" spans="1:49">
      <c r="A274" s="12" t="str">
        <f>Roster!A274</f>
        <v/>
      </c>
      <c r="B274" s="28">
        <f>Roster!C274</f>
        <v>0</v>
      </c>
      <c r="C274" s="55"/>
      <c r="D274" s="56"/>
      <c r="E274" s="57"/>
      <c r="F274" s="57"/>
      <c r="G274" s="57"/>
      <c r="H274" s="57"/>
      <c r="I274" s="57"/>
      <c r="J274" s="57"/>
      <c r="K274" s="45"/>
      <c r="L274" s="58"/>
      <c r="M274" s="56"/>
      <c r="N274" s="57"/>
      <c r="O274" s="57"/>
      <c r="P274" s="57"/>
      <c r="Q274" s="57"/>
      <c r="R274" s="57"/>
      <c r="S274" s="57"/>
      <c r="T274" s="45"/>
      <c r="U274" s="76"/>
      <c r="V274" s="45"/>
      <c r="W274" s="57"/>
      <c r="X274" s="57"/>
      <c r="Y274" s="57"/>
      <c r="Z274" s="57"/>
      <c r="AA274" s="57"/>
      <c r="AB274" s="57"/>
      <c r="AC274" s="57"/>
      <c r="AD274" s="57"/>
      <c r="AE274" s="71"/>
      <c r="AF274" s="57"/>
      <c r="AG274" s="57"/>
      <c r="AH274" s="57"/>
      <c r="AI274" s="57"/>
      <c r="AJ274" s="57"/>
      <c r="AK274" s="57"/>
      <c r="AL274" s="57"/>
      <c r="AM274" s="57"/>
      <c r="AN274" s="76"/>
      <c r="AO274" s="45"/>
      <c r="AP274" s="57"/>
      <c r="AQ274" s="57"/>
      <c r="AR274" s="57"/>
      <c r="AS274" s="57"/>
      <c r="AT274" s="57"/>
      <c r="AU274" s="57"/>
      <c r="AV274" s="57"/>
      <c r="AW274" s="57"/>
    </row>
    <row r="275" spans="1:49">
      <c r="A275" s="12" t="str">
        <f>Roster!A275</f>
        <v/>
      </c>
      <c r="B275" s="28">
        <f>Roster!C275</f>
        <v>0</v>
      </c>
      <c r="C275" s="55"/>
      <c r="D275" s="56"/>
      <c r="E275" s="57"/>
      <c r="F275" s="57"/>
      <c r="G275" s="57"/>
      <c r="H275" s="57"/>
      <c r="I275" s="57"/>
      <c r="J275" s="57"/>
      <c r="K275" s="45"/>
      <c r="L275" s="58"/>
      <c r="M275" s="56"/>
      <c r="N275" s="57"/>
      <c r="O275" s="57"/>
      <c r="P275" s="57"/>
      <c r="Q275" s="57"/>
      <c r="R275" s="57"/>
      <c r="S275" s="57"/>
      <c r="T275" s="45"/>
      <c r="U275" s="76"/>
      <c r="V275" s="45"/>
      <c r="W275" s="57"/>
      <c r="X275" s="57"/>
      <c r="Y275" s="57"/>
      <c r="Z275" s="57"/>
      <c r="AA275" s="57"/>
      <c r="AB275" s="57"/>
      <c r="AC275" s="57"/>
      <c r="AD275" s="57"/>
      <c r="AE275" s="71"/>
      <c r="AF275" s="57"/>
      <c r="AG275" s="57"/>
      <c r="AH275" s="57"/>
      <c r="AI275" s="57"/>
      <c r="AJ275" s="57"/>
      <c r="AK275" s="57"/>
      <c r="AL275" s="57"/>
      <c r="AM275" s="57"/>
      <c r="AN275" s="76"/>
      <c r="AO275" s="45"/>
      <c r="AP275" s="57"/>
      <c r="AQ275" s="57"/>
      <c r="AR275" s="57"/>
      <c r="AS275" s="57"/>
      <c r="AT275" s="57"/>
      <c r="AU275" s="57"/>
      <c r="AV275" s="57"/>
      <c r="AW275" s="57"/>
    </row>
    <row r="276" spans="1:49">
      <c r="A276" s="12" t="str">
        <f>Roster!A276</f>
        <v/>
      </c>
      <c r="B276" s="28">
        <f>Roster!C276</f>
        <v>0</v>
      </c>
      <c r="C276" s="55"/>
      <c r="D276" s="56"/>
      <c r="E276" s="57"/>
      <c r="F276" s="57"/>
      <c r="G276" s="57"/>
      <c r="H276" s="57"/>
      <c r="I276" s="57"/>
      <c r="J276" s="57"/>
      <c r="K276" s="45"/>
      <c r="L276" s="58"/>
      <c r="M276" s="56"/>
      <c r="N276" s="57"/>
      <c r="O276" s="57"/>
      <c r="P276" s="57"/>
      <c r="Q276" s="57"/>
      <c r="R276" s="57"/>
      <c r="S276" s="57"/>
      <c r="T276" s="45"/>
      <c r="U276" s="76"/>
      <c r="V276" s="45"/>
      <c r="W276" s="57"/>
      <c r="X276" s="57"/>
      <c r="Y276" s="57"/>
      <c r="Z276" s="57"/>
      <c r="AA276" s="57"/>
      <c r="AB276" s="57"/>
      <c r="AC276" s="57"/>
      <c r="AD276" s="57"/>
      <c r="AE276" s="71"/>
      <c r="AF276" s="57"/>
      <c r="AG276" s="57"/>
      <c r="AH276" s="57"/>
      <c r="AI276" s="57"/>
      <c r="AJ276" s="57"/>
      <c r="AK276" s="57"/>
      <c r="AL276" s="57"/>
      <c r="AM276" s="57"/>
      <c r="AN276" s="76"/>
      <c r="AO276" s="45"/>
      <c r="AP276" s="57"/>
      <c r="AQ276" s="57"/>
      <c r="AR276" s="57"/>
      <c r="AS276" s="57"/>
      <c r="AT276" s="57"/>
      <c r="AU276" s="57"/>
      <c r="AV276" s="57"/>
      <c r="AW276" s="57"/>
    </row>
    <row r="277" spans="1:49">
      <c r="A277" s="12" t="str">
        <f>Roster!A277</f>
        <v/>
      </c>
      <c r="B277" s="28">
        <f>Roster!C277</f>
        <v>0</v>
      </c>
      <c r="C277" s="55"/>
      <c r="D277" s="56"/>
      <c r="E277" s="57"/>
      <c r="F277" s="57"/>
      <c r="G277" s="57"/>
      <c r="H277" s="57"/>
      <c r="I277" s="57"/>
      <c r="J277" s="57"/>
      <c r="K277" s="45"/>
      <c r="L277" s="58"/>
      <c r="M277" s="56"/>
      <c r="N277" s="57"/>
      <c r="O277" s="57"/>
      <c r="P277" s="57"/>
      <c r="Q277" s="57"/>
      <c r="R277" s="57"/>
      <c r="S277" s="57"/>
      <c r="T277" s="45"/>
      <c r="U277" s="76"/>
      <c r="V277" s="45"/>
      <c r="W277" s="57"/>
      <c r="X277" s="57"/>
      <c r="Y277" s="57"/>
      <c r="Z277" s="57"/>
      <c r="AA277" s="57"/>
      <c r="AB277" s="57"/>
      <c r="AC277" s="57"/>
      <c r="AD277" s="57"/>
      <c r="AE277" s="71"/>
      <c r="AF277" s="57"/>
      <c r="AG277" s="57"/>
      <c r="AH277" s="57"/>
      <c r="AI277" s="57"/>
      <c r="AJ277" s="57"/>
      <c r="AK277" s="57"/>
      <c r="AL277" s="57"/>
      <c r="AM277" s="57"/>
      <c r="AN277" s="76"/>
      <c r="AO277" s="45"/>
      <c r="AP277" s="57"/>
      <c r="AQ277" s="57"/>
      <c r="AR277" s="57"/>
      <c r="AS277" s="57"/>
      <c r="AT277" s="57"/>
      <c r="AU277" s="57"/>
      <c r="AV277" s="57"/>
      <c r="AW277" s="57"/>
    </row>
    <row r="278" spans="1:49">
      <c r="A278" s="12" t="str">
        <f>Roster!A278</f>
        <v/>
      </c>
      <c r="B278" s="28">
        <f>Roster!C278</f>
        <v>0</v>
      </c>
      <c r="C278" s="55"/>
      <c r="D278" s="56"/>
      <c r="E278" s="57"/>
      <c r="F278" s="57"/>
      <c r="G278" s="57"/>
      <c r="H278" s="57"/>
      <c r="I278" s="57"/>
      <c r="J278" s="57"/>
      <c r="K278" s="45"/>
      <c r="L278" s="58"/>
      <c r="M278" s="56"/>
      <c r="N278" s="57"/>
      <c r="O278" s="57"/>
      <c r="P278" s="57"/>
      <c r="Q278" s="57"/>
      <c r="R278" s="57"/>
      <c r="S278" s="57"/>
      <c r="T278" s="45"/>
      <c r="U278" s="76"/>
      <c r="V278" s="45"/>
      <c r="W278" s="57"/>
      <c r="X278" s="57"/>
      <c r="Y278" s="57"/>
      <c r="Z278" s="57"/>
      <c r="AA278" s="57"/>
      <c r="AB278" s="57"/>
      <c r="AC278" s="57"/>
      <c r="AD278" s="57"/>
      <c r="AE278" s="71"/>
      <c r="AF278" s="57"/>
      <c r="AG278" s="57"/>
      <c r="AH278" s="57"/>
      <c r="AI278" s="57"/>
      <c r="AJ278" s="57"/>
      <c r="AK278" s="57"/>
      <c r="AL278" s="57"/>
      <c r="AM278" s="57"/>
      <c r="AN278" s="76"/>
      <c r="AO278" s="45"/>
      <c r="AP278" s="57"/>
      <c r="AQ278" s="57"/>
      <c r="AR278" s="57"/>
      <c r="AS278" s="57"/>
      <c r="AT278" s="57"/>
      <c r="AU278" s="57"/>
      <c r="AV278" s="57"/>
      <c r="AW278" s="57"/>
    </row>
    <row r="279" spans="1:49">
      <c r="A279" s="12" t="str">
        <f>Roster!A279</f>
        <v/>
      </c>
      <c r="B279" s="28">
        <f>Roster!C279</f>
        <v>0</v>
      </c>
      <c r="C279" s="55"/>
      <c r="D279" s="56"/>
      <c r="E279" s="57"/>
      <c r="F279" s="57"/>
      <c r="G279" s="57"/>
      <c r="H279" s="57"/>
      <c r="I279" s="57"/>
      <c r="J279" s="57"/>
      <c r="K279" s="45"/>
      <c r="L279" s="58"/>
      <c r="M279" s="56"/>
      <c r="N279" s="57"/>
      <c r="O279" s="57"/>
      <c r="P279" s="57"/>
      <c r="Q279" s="57"/>
      <c r="R279" s="57"/>
      <c r="S279" s="57"/>
      <c r="T279" s="45"/>
      <c r="U279" s="76"/>
      <c r="V279" s="45"/>
      <c r="W279" s="57"/>
      <c r="X279" s="57"/>
      <c r="Y279" s="57"/>
      <c r="Z279" s="57"/>
      <c r="AA279" s="57"/>
      <c r="AB279" s="57"/>
      <c r="AC279" s="57"/>
      <c r="AD279" s="57"/>
      <c r="AE279" s="71"/>
      <c r="AF279" s="57"/>
      <c r="AG279" s="57"/>
      <c r="AH279" s="57"/>
      <c r="AI279" s="57"/>
      <c r="AJ279" s="57"/>
      <c r="AK279" s="57"/>
      <c r="AL279" s="57"/>
      <c r="AM279" s="57"/>
      <c r="AN279" s="76"/>
      <c r="AO279" s="45"/>
      <c r="AP279" s="57"/>
      <c r="AQ279" s="57"/>
      <c r="AR279" s="57"/>
      <c r="AS279" s="57"/>
      <c r="AT279" s="57"/>
      <c r="AU279" s="57"/>
      <c r="AV279" s="57"/>
      <c r="AW279" s="57"/>
    </row>
    <row r="280" spans="1:49">
      <c r="A280" s="12" t="str">
        <f>Roster!A280</f>
        <v/>
      </c>
      <c r="B280" s="28">
        <f>Roster!C280</f>
        <v>0</v>
      </c>
      <c r="C280" s="55"/>
      <c r="D280" s="56"/>
      <c r="E280" s="57"/>
      <c r="F280" s="57"/>
      <c r="G280" s="57"/>
      <c r="H280" s="57"/>
      <c r="I280" s="57"/>
      <c r="J280" s="57"/>
      <c r="K280" s="45"/>
      <c r="L280" s="58"/>
      <c r="M280" s="56"/>
      <c r="N280" s="57"/>
      <c r="O280" s="57"/>
      <c r="P280" s="57"/>
      <c r="Q280" s="57"/>
      <c r="R280" s="57"/>
      <c r="S280" s="57"/>
      <c r="T280" s="45"/>
      <c r="U280" s="76"/>
      <c r="V280" s="45"/>
      <c r="W280" s="57"/>
      <c r="X280" s="57"/>
      <c r="Y280" s="57"/>
      <c r="Z280" s="57"/>
      <c r="AA280" s="57"/>
      <c r="AB280" s="57"/>
      <c r="AC280" s="57"/>
      <c r="AD280" s="57"/>
      <c r="AE280" s="71"/>
      <c r="AF280" s="57"/>
      <c r="AG280" s="57"/>
      <c r="AH280" s="57"/>
      <c r="AI280" s="57"/>
      <c r="AJ280" s="57"/>
      <c r="AK280" s="57"/>
      <c r="AL280" s="57"/>
      <c r="AM280" s="57"/>
      <c r="AN280" s="76"/>
      <c r="AO280" s="45"/>
      <c r="AP280" s="57"/>
      <c r="AQ280" s="57"/>
      <c r="AR280" s="57"/>
      <c r="AS280" s="57"/>
      <c r="AT280" s="57"/>
      <c r="AU280" s="57"/>
      <c r="AV280" s="57"/>
      <c r="AW280" s="57"/>
    </row>
    <row r="281" spans="1:49">
      <c r="A281" s="12" t="str">
        <f>Roster!A281</f>
        <v/>
      </c>
      <c r="B281" s="28">
        <f>Roster!C281</f>
        <v>0</v>
      </c>
      <c r="C281" s="55"/>
      <c r="D281" s="56"/>
      <c r="E281" s="57"/>
      <c r="F281" s="57"/>
      <c r="G281" s="57"/>
      <c r="H281" s="57"/>
      <c r="I281" s="57"/>
      <c r="J281" s="57"/>
      <c r="K281" s="45"/>
      <c r="L281" s="58"/>
      <c r="M281" s="56"/>
      <c r="N281" s="57"/>
      <c r="O281" s="57"/>
      <c r="P281" s="57"/>
      <c r="Q281" s="57"/>
      <c r="R281" s="57"/>
      <c r="S281" s="57"/>
      <c r="T281" s="45"/>
      <c r="U281" s="76"/>
      <c r="V281" s="45"/>
      <c r="W281" s="57"/>
      <c r="X281" s="57"/>
      <c r="Y281" s="57"/>
      <c r="Z281" s="57"/>
      <c r="AA281" s="57"/>
      <c r="AB281" s="57"/>
      <c r="AC281" s="57"/>
      <c r="AD281" s="57"/>
      <c r="AE281" s="71"/>
      <c r="AF281" s="57"/>
      <c r="AG281" s="57"/>
      <c r="AH281" s="57"/>
      <c r="AI281" s="57"/>
      <c r="AJ281" s="57"/>
      <c r="AK281" s="57"/>
      <c r="AL281" s="57"/>
      <c r="AM281" s="57"/>
      <c r="AN281" s="76"/>
      <c r="AO281" s="45"/>
      <c r="AP281" s="57"/>
      <c r="AQ281" s="57"/>
      <c r="AR281" s="57"/>
      <c r="AS281" s="57"/>
      <c r="AT281" s="57"/>
      <c r="AU281" s="57"/>
      <c r="AV281" s="57"/>
      <c r="AW281" s="57"/>
    </row>
    <row r="282" spans="1:49">
      <c r="A282" s="12" t="str">
        <f>Roster!A282</f>
        <v/>
      </c>
      <c r="B282" s="28">
        <f>Roster!C282</f>
        <v>0</v>
      </c>
      <c r="C282" s="55"/>
      <c r="D282" s="56"/>
      <c r="E282" s="57"/>
      <c r="F282" s="57"/>
      <c r="G282" s="57"/>
      <c r="H282" s="57"/>
      <c r="I282" s="57"/>
      <c r="J282" s="57"/>
      <c r="K282" s="45"/>
      <c r="L282" s="58"/>
      <c r="M282" s="56"/>
      <c r="N282" s="57"/>
      <c r="O282" s="57"/>
      <c r="P282" s="57"/>
      <c r="Q282" s="57"/>
      <c r="R282" s="57"/>
      <c r="S282" s="57"/>
      <c r="T282" s="45"/>
      <c r="U282" s="76"/>
      <c r="V282" s="45"/>
      <c r="W282" s="57"/>
      <c r="X282" s="57"/>
      <c r="Y282" s="57"/>
      <c r="Z282" s="57"/>
      <c r="AA282" s="57"/>
      <c r="AB282" s="57"/>
      <c r="AC282" s="57"/>
      <c r="AD282" s="57"/>
      <c r="AE282" s="71"/>
      <c r="AF282" s="57"/>
      <c r="AG282" s="57"/>
      <c r="AH282" s="57"/>
      <c r="AI282" s="57"/>
      <c r="AJ282" s="57"/>
      <c r="AK282" s="57"/>
      <c r="AL282" s="57"/>
      <c r="AM282" s="57"/>
      <c r="AN282" s="76"/>
      <c r="AO282" s="45"/>
      <c r="AP282" s="57"/>
      <c r="AQ282" s="57"/>
      <c r="AR282" s="57"/>
      <c r="AS282" s="57"/>
      <c r="AT282" s="57"/>
      <c r="AU282" s="57"/>
      <c r="AV282" s="57"/>
      <c r="AW282" s="57"/>
    </row>
    <row r="283" spans="1:49">
      <c r="A283" s="12" t="str">
        <f>Roster!A283</f>
        <v/>
      </c>
      <c r="B283" s="28">
        <f>Roster!C283</f>
        <v>0</v>
      </c>
      <c r="C283" s="55"/>
      <c r="D283" s="56"/>
      <c r="E283" s="57"/>
      <c r="F283" s="57"/>
      <c r="G283" s="57"/>
      <c r="H283" s="57"/>
      <c r="I283" s="57"/>
      <c r="J283" s="57"/>
      <c r="K283" s="45"/>
      <c r="L283" s="58"/>
      <c r="M283" s="56"/>
      <c r="N283" s="57"/>
      <c r="O283" s="57"/>
      <c r="P283" s="57"/>
      <c r="Q283" s="57"/>
      <c r="R283" s="57"/>
      <c r="S283" s="57"/>
      <c r="T283" s="45"/>
      <c r="U283" s="76"/>
      <c r="V283" s="45"/>
      <c r="W283" s="57"/>
      <c r="X283" s="57"/>
      <c r="Y283" s="57"/>
      <c r="Z283" s="57"/>
      <c r="AA283" s="57"/>
      <c r="AB283" s="57"/>
      <c r="AC283" s="57"/>
      <c r="AD283" s="57"/>
      <c r="AE283" s="71"/>
      <c r="AF283" s="57"/>
      <c r="AG283" s="57"/>
      <c r="AH283" s="57"/>
      <c r="AI283" s="57"/>
      <c r="AJ283" s="57"/>
      <c r="AK283" s="57"/>
      <c r="AL283" s="57"/>
      <c r="AM283" s="57"/>
      <c r="AN283" s="76"/>
      <c r="AO283" s="45"/>
      <c r="AP283" s="57"/>
      <c r="AQ283" s="57"/>
      <c r="AR283" s="57"/>
      <c r="AS283" s="57"/>
      <c r="AT283" s="57"/>
      <c r="AU283" s="57"/>
      <c r="AV283" s="57"/>
      <c r="AW283" s="57"/>
    </row>
    <row r="284" spans="1:49">
      <c r="A284" s="12" t="str">
        <f>Roster!A284</f>
        <v/>
      </c>
      <c r="B284" s="28">
        <f>Roster!C284</f>
        <v>0</v>
      </c>
      <c r="C284" s="55"/>
      <c r="D284" s="56"/>
      <c r="E284" s="57"/>
      <c r="F284" s="57"/>
      <c r="G284" s="57"/>
      <c r="H284" s="57"/>
      <c r="I284" s="57"/>
      <c r="J284" s="57"/>
      <c r="K284" s="45"/>
      <c r="L284" s="58"/>
      <c r="M284" s="56"/>
      <c r="N284" s="57"/>
      <c r="O284" s="57"/>
      <c r="P284" s="57"/>
      <c r="Q284" s="57"/>
      <c r="R284" s="57"/>
      <c r="S284" s="57"/>
      <c r="T284" s="45"/>
      <c r="U284" s="76"/>
      <c r="V284" s="45"/>
      <c r="W284" s="57"/>
      <c r="X284" s="57"/>
      <c r="Y284" s="57"/>
      <c r="Z284" s="57"/>
      <c r="AA284" s="57"/>
      <c r="AB284" s="57"/>
      <c r="AC284" s="57"/>
      <c r="AD284" s="57"/>
      <c r="AE284" s="71"/>
      <c r="AF284" s="57"/>
      <c r="AG284" s="57"/>
      <c r="AH284" s="57"/>
      <c r="AI284" s="57"/>
      <c r="AJ284" s="57"/>
      <c r="AK284" s="57"/>
      <c r="AL284" s="57"/>
      <c r="AM284" s="57"/>
      <c r="AN284" s="76"/>
      <c r="AO284" s="45"/>
      <c r="AP284" s="57"/>
      <c r="AQ284" s="57"/>
      <c r="AR284" s="57"/>
      <c r="AS284" s="57"/>
      <c r="AT284" s="57"/>
      <c r="AU284" s="57"/>
      <c r="AV284" s="57"/>
      <c r="AW284" s="57"/>
    </row>
    <row r="285" spans="1:49">
      <c r="A285" s="12" t="str">
        <f>Roster!A285</f>
        <v/>
      </c>
      <c r="B285" s="28">
        <f>Roster!C285</f>
        <v>0</v>
      </c>
      <c r="C285" s="55"/>
      <c r="D285" s="56"/>
      <c r="E285" s="57"/>
      <c r="F285" s="57"/>
      <c r="G285" s="57"/>
      <c r="H285" s="57"/>
      <c r="I285" s="57"/>
      <c r="J285" s="57"/>
      <c r="K285" s="45"/>
      <c r="L285" s="58"/>
      <c r="M285" s="56"/>
      <c r="N285" s="57"/>
      <c r="O285" s="57"/>
      <c r="P285" s="57"/>
      <c r="Q285" s="57"/>
      <c r="R285" s="57"/>
      <c r="S285" s="57"/>
      <c r="T285" s="45"/>
      <c r="U285" s="76"/>
      <c r="V285" s="45"/>
      <c r="W285" s="57"/>
      <c r="X285" s="57"/>
      <c r="Y285" s="57"/>
      <c r="Z285" s="57"/>
      <c r="AA285" s="57"/>
      <c r="AB285" s="57"/>
      <c r="AC285" s="57"/>
      <c r="AD285" s="57"/>
      <c r="AE285" s="71"/>
      <c r="AF285" s="57"/>
      <c r="AG285" s="57"/>
      <c r="AH285" s="57"/>
      <c r="AI285" s="57"/>
      <c r="AJ285" s="57"/>
      <c r="AK285" s="57"/>
      <c r="AL285" s="57"/>
      <c r="AM285" s="57"/>
      <c r="AN285" s="76"/>
      <c r="AO285" s="45"/>
      <c r="AP285" s="57"/>
      <c r="AQ285" s="57"/>
      <c r="AR285" s="57"/>
      <c r="AS285" s="57"/>
      <c r="AT285" s="57"/>
      <c r="AU285" s="57"/>
      <c r="AV285" s="57"/>
      <c r="AW285" s="57"/>
    </row>
    <row r="286" spans="1:49">
      <c r="A286" s="12" t="str">
        <f>Roster!A286</f>
        <v/>
      </c>
      <c r="B286" s="28">
        <f>Roster!C286</f>
        <v>0</v>
      </c>
      <c r="C286" s="55"/>
      <c r="D286" s="56"/>
      <c r="E286" s="57"/>
      <c r="F286" s="57"/>
      <c r="G286" s="57"/>
      <c r="H286" s="57"/>
      <c r="I286" s="57"/>
      <c r="J286" s="57"/>
      <c r="K286" s="45"/>
      <c r="L286" s="58"/>
      <c r="M286" s="56"/>
      <c r="N286" s="57"/>
      <c r="O286" s="57"/>
      <c r="P286" s="57"/>
      <c r="Q286" s="57"/>
      <c r="R286" s="57"/>
      <c r="S286" s="57"/>
      <c r="T286" s="45"/>
      <c r="U286" s="76"/>
      <c r="V286" s="45"/>
      <c r="W286" s="57"/>
      <c r="X286" s="57"/>
      <c r="Y286" s="57"/>
      <c r="Z286" s="57"/>
      <c r="AA286" s="57"/>
      <c r="AB286" s="57"/>
      <c r="AC286" s="57"/>
      <c r="AD286" s="57"/>
      <c r="AE286" s="71"/>
      <c r="AF286" s="57"/>
      <c r="AG286" s="57"/>
      <c r="AH286" s="57"/>
      <c r="AI286" s="57"/>
      <c r="AJ286" s="57"/>
      <c r="AK286" s="57"/>
      <c r="AL286" s="57"/>
      <c r="AM286" s="57"/>
      <c r="AN286" s="76"/>
      <c r="AO286" s="45"/>
      <c r="AP286" s="57"/>
      <c r="AQ286" s="57"/>
      <c r="AR286" s="57"/>
      <c r="AS286" s="57"/>
      <c r="AT286" s="57"/>
      <c r="AU286" s="57"/>
      <c r="AV286" s="57"/>
      <c r="AW286" s="57"/>
    </row>
    <row r="287" spans="1:49">
      <c r="A287" s="12" t="str">
        <f>Roster!A287</f>
        <v/>
      </c>
      <c r="B287" s="28">
        <f>Roster!C287</f>
        <v>0</v>
      </c>
      <c r="C287" s="55"/>
      <c r="D287" s="56"/>
      <c r="E287" s="57"/>
      <c r="F287" s="57"/>
      <c r="G287" s="57"/>
      <c r="H287" s="57"/>
      <c r="I287" s="57"/>
      <c r="J287" s="57"/>
      <c r="K287" s="45"/>
      <c r="L287" s="58"/>
      <c r="M287" s="56"/>
      <c r="N287" s="57"/>
      <c r="O287" s="57"/>
      <c r="P287" s="57"/>
      <c r="Q287" s="57"/>
      <c r="R287" s="57"/>
      <c r="S287" s="57"/>
      <c r="T287" s="45"/>
      <c r="U287" s="76"/>
      <c r="V287" s="45"/>
      <c r="W287" s="57"/>
      <c r="X287" s="57"/>
      <c r="Y287" s="57"/>
      <c r="Z287" s="57"/>
      <c r="AA287" s="57"/>
      <c r="AB287" s="57"/>
      <c r="AC287" s="57"/>
      <c r="AD287" s="57"/>
      <c r="AE287" s="71"/>
      <c r="AF287" s="57"/>
      <c r="AG287" s="57"/>
      <c r="AH287" s="57"/>
      <c r="AI287" s="57"/>
      <c r="AJ287" s="57"/>
      <c r="AK287" s="57"/>
      <c r="AL287" s="57"/>
      <c r="AM287" s="57"/>
      <c r="AN287" s="76"/>
      <c r="AO287" s="45"/>
      <c r="AP287" s="57"/>
      <c r="AQ287" s="57"/>
      <c r="AR287" s="57"/>
      <c r="AS287" s="57"/>
      <c r="AT287" s="57"/>
      <c r="AU287" s="57"/>
      <c r="AV287" s="57"/>
      <c r="AW287" s="57"/>
    </row>
    <row r="288" spans="1:49">
      <c r="A288" s="12" t="str">
        <f>Roster!A288</f>
        <v/>
      </c>
      <c r="B288" s="28">
        <f>Roster!C288</f>
        <v>0</v>
      </c>
      <c r="C288" s="55"/>
      <c r="D288" s="56"/>
      <c r="E288" s="57"/>
      <c r="F288" s="57"/>
      <c r="G288" s="57"/>
      <c r="H288" s="57"/>
      <c r="I288" s="57"/>
      <c r="J288" s="57"/>
      <c r="K288" s="45"/>
      <c r="L288" s="58"/>
      <c r="M288" s="56"/>
      <c r="N288" s="57"/>
      <c r="O288" s="57"/>
      <c r="P288" s="57"/>
      <c r="Q288" s="57"/>
      <c r="R288" s="57"/>
      <c r="S288" s="57"/>
      <c r="T288" s="45"/>
      <c r="U288" s="76"/>
      <c r="V288" s="45"/>
      <c r="W288" s="57"/>
      <c r="X288" s="57"/>
      <c r="Y288" s="57"/>
      <c r="Z288" s="57"/>
      <c r="AA288" s="57"/>
      <c r="AB288" s="57"/>
      <c r="AC288" s="57"/>
      <c r="AD288" s="57"/>
      <c r="AE288" s="71"/>
      <c r="AF288" s="57"/>
      <c r="AG288" s="57"/>
      <c r="AH288" s="57"/>
      <c r="AI288" s="57"/>
      <c r="AJ288" s="57"/>
      <c r="AK288" s="57"/>
      <c r="AL288" s="57"/>
      <c r="AM288" s="57"/>
      <c r="AN288" s="76"/>
      <c r="AO288" s="45"/>
      <c r="AP288" s="57"/>
      <c r="AQ288" s="57"/>
      <c r="AR288" s="57"/>
      <c r="AS288" s="57"/>
      <c r="AT288" s="57"/>
      <c r="AU288" s="57"/>
      <c r="AV288" s="57"/>
      <c r="AW288" s="57"/>
    </row>
    <row r="289" spans="1:49">
      <c r="A289" s="12" t="str">
        <f>Roster!A289</f>
        <v/>
      </c>
      <c r="B289" s="28">
        <f>Roster!C289</f>
        <v>0</v>
      </c>
      <c r="C289" s="55"/>
      <c r="D289" s="56"/>
      <c r="E289" s="57"/>
      <c r="F289" s="57"/>
      <c r="G289" s="57"/>
      <c r="H289" s="57"/>
      <c r="I289" s="57"/>
      <c r="J289" s="57"/>
      <c r="K289" s="45"/>
      <c r="L289" s="58"/>
      <c r="M289" s="56"/>
      <c r="N289" s="57"/>
      <c r="O289" s="57"/>
      <c r="P289" s="57"/>
      <c r="Q289" s="57"/>
      <c r="R289" s="57"/>
      <c r="S289" s="57"/>
      <c r="T289" s="45"/>
      <c r="U289" s="76"/>
      <c r="V289" s="45"/>
      <c r="W289" s="57"/>
      <c r="X289" s="57"/>
      <c r="Y289" s="57"/>
      <c r="Z289" s="57"/>
      <c r="AA289" s="57"/>
      <c r="AB289" s="57"/>
      <c r="AC289" s="57"/>
      <c r="AD289" s="57"/>
      <c r="AE289" s="71"/>
      <c r="AF289" s="57"/>
      <c r="AG289" s="57"/>
      <c r="AH289" s="57"/>
      <c r="AI289" s="57"/>
      <c r="AJ289" s="57"/>
      <c r="AK289" s="57"/>
      <c r="AL289" s="57"/>
      <c r="AM289" s="57"/>
      <c r="AN289" s="76"/>
      <c r="AO289" s="45"/>
      <c r="AP289" s="57"/>
      <c r="AQ289" s="57"/>
      <c r="AR289" s="57"/>
      <c r="AS289" s="57"/>
      <c r="AT289" s="57"/>
      <c r="AU289" s="57"/>
      <c r="AV289" s="57"/>
      <c r="AW289" s="57"/>
    </row>
    <row r="290" spans="1:49">
      <c r="A290" s="12" t="str">
        <f>Roster!A290</f>
        <v/>
      </c>
      <c r="B290" s="28">
        <f>Roster!C290</f>
        <v>0</v>
      </c>
      <c r="C290" s="55"/>
      <c r="D290" s="56"/>
      <c r="E290" s="57"/>
      <c r="F290" s="57"/>
      <c r="G290" s="57"/>
      <c r="H290" s="57"/>
      <c r="I290" s="57"/>
      <c r="J290" s="57"/>
      <c r="K290" s="45"/>
      <c r="L290" s="58"/>
      <c r="M290" s="56"/>
      <c r="N290" s="57"/>
      <c r="O290" s="57"/>
      <c r="P290" s="57"/>
      <c r="Q290" s="57"/>
      <c r="R290" s="57"/>
      <c r="S290" s="57"/>
      <c r="T290" s="45"/>
      <c r="U290" s="76"/>
      <c r="V290" s="45"/>
      <c r="W290" s="57"/>
      <c r="X290" s="57"/>
      <c r="Y290" s="57"/>
      <c r="Z290" s="57"/>
      <c r="AA290" s="57"/>
      <c r="AB290" s="57"/>
      <c r="AC290" s="57"/>
      <c r="AD290" s="57"/>
      <c r="AE290" s="71"/>
      <c r="AF290" s="57"/>
      <c r="AG290" s="57"/>
      <c r="AH290" s="57"/>
      <c r="AI290" s="57"/>
      <c r="AJ290" s="57"/>
      <c r="AK290" s="57"/>
      <c r="AL290" s="57"/>
      <c r="AM290" s="57"/>
      <c r="AN290" s="76"/>
      <c r="AO290" s="45"/>
      <c r="AP290" s="57"/>
      <c r="AQ290" s="57"/>
      <c r="AR290" s="57"/>
      <c r="AS290" s="57"/>
      <c r="AT290" s="57"/>
      <c r="AU290" s="57"/>
      <c r="AV290" s="57"/>
      <c r="AW290" s="57"/>
    </row>
    <row r="291" spans="1:49">
      <c r="A291" s="12" t="str">
        <f>Roster!A291</f>
        <v/>
      </c>
      <c r="B291" s="28">
        <f>Roster!C291</f>
        <v>0</v>
      </c>
      <c r="C291" s="55"/>
      <c r="D291" s="56"/>
      <c r="E291" s="57"/>
      <c r="F291" s="57"/>
      <c r="G291" s="57"/>
      <c r="H291" s="57"/>
      <c r="I291" s="57"/>
      <c r="J291" s="57"/>
      <c r="K291" s="45"/>
      <c r="L291" s="58"/>
      <c r="M291" s="56"/>
      <c r="N291" s="57"/>
      <c r="O291" s="57"/>
      <c r="P291" s="57"/>
      <c r="Q291" s="57"/>
      <c r="R291" s="57"/>
      <c r="S291" s="57"/>
      <c r="T291" s="45"/>
      <c r="U291" s="76"/>
      <c r="V291" s="45"/>
      <c r="W291" s="57"/>
      <c r="X291" s="57"/>
      <c r="Y291" s="57"/>
      <c r="Z291" s="57"/>
      <c r="AA291" s="57"/>
      <c r="AB291" s="57"/>
      <c r="AC291" s="57"/>
      <c r="AD291" s="57"/>
      <c r="AE291" s="71"/>
      <c r="AF291" s="57"/>
      <c r="AG291" s="57"/>
      <c r="AH291" s="57"/>
      <c r="AI291" s="57"/>
      <c r="AJ291" s="57"/>
      <c r="AK291" s="57"/>
      <c r="AL291" s="57"/>
      <c r="AM291" s="57"/>
      <c r="AN291" s="76"/>
      <c r="AO291" s="45"/>
      <c r="AP291" s="57"/>
      <c r="AQ291" s="57"/>
      <c r="AR291" s="57"/>
      <c r="AS291" s="57"/>
      <c r="AT291" s="57"/>
      <c r="AU291" s="57"/>
      <c r="AV291" s="57"/>
      <c r="AW291" s="57"/>
    </row>
    <row r="292" spans="1:49">
      <c r="A292" s="12" t="str">
        <f>Roster!A292</f>
        <v/>
      </c>
      <c r="B292" s="28">
        <f>Roster!C292</f>
        <v>0</v>
      </c>
      <c r="C292" s="55"/>
      <c r="D292" s="56"/>
      <c r="E292" s="57"/>
      <c r="F292" s="57"/>
      <c r="G292" s="57"/>
      <c r="H292" s="57"/>
      <c r="I292" s="57"/>
      <c r="J292" s="57"/>
      <c r="K292" s="45"/>
      <c r="L292" s="58"/>
      <c r="M292" s="56"/>
      <c r="N292" s="57"/>
      <c r="O292" s="57"/>
      <c r="P292" s="57"/>
      <c r="Q292" s="57"/>
      <c r="R292" s="57"/>
      <c r="S292" s="57"/>
      <c r="T292" s="45"/>
      <c r="U292" s="76"/>
      <c r="V292" s="45"/>
      <c r="W292" s="57"/>
      <c r="X292" s="57"/>
      <c r="Y292" s="57"/>
      <c r="Z292" s="57"/>
      <c r="AA292" s="57"/>
      <c r="AB292" s="57"/>
      <c r="AC292" s="57"/>
      <c r="AD292" s="57"/>
      <c r="AE292" s="71"/>
      <c r="AF292" s="57"/>
      <c r="AG292" s="57"/>
      <c r="AH292" s="57"/>
      <c r="AI292" s="57"/>
      <c r="AJ292" s="57"/>
      <c r="AK292" s="57"/>
      <c r="AL292" s="57"/>
      <c r="AM292" s="57"/>
      <c r="AN292" s="76"/>
      <c r="AO292" s="45"/>
      <c r="AP292" s="57"/>
      <c r="AQ292" s="57"/>
      <c r="AR292" s="57"/>
      <c r="AS292" s="57"/>
      <c r="AT292" s="57"/>
      <c r="AU292" s="57"/>
      <c r="AV292" s="57"/>
      <c r="AW292" s="57"/>
    </row>
    <row r="293" spans="1:49">
      <c r="A293" s="12" t="str">
        <f>Roster!A293</f>
        <v/>
      </c>
      <c r="B293" s="28">
        <f>Roster!C293</f>
        <v>0</v>
      </c>
      <c r="C293" s="55"/>
      <c r="D293" s="56"/>
      <c r="E293" s="57"/>
      <c r="F293" s="57"/>
      <c r="G293" s="57"/>
      <c r="H293" s="57"/>
      <c r="I293" s="57"/>
      <c r="J293" s="57"/>
      <c r="K293" s="45"/>
      <c r="L293" s="58"/>
      <c r="M293" s="56"/>
      <c r="N293" s="57"/>
      <c r="O293" s="57"/>
      <c r="P293" s="57"/>
      <c r="Q293" s="57"/>
      <c r="R293" s="57"/>
      <c r="S293" s="57"/>
      <c r="T293" s="45"/>
      <c r="U293" s="76"/>
      <c r="V293" s="45"/>
      <c r="W293" s="57"/>
      <c r="X293" s="57"/>
      <c r="Y293" s="57"/>
      <c r="Z293" s="57"/>
      <c r="AA293" s="57"/>
      <c r="AB293" s="57"/>
      <c r="AC293" s="57"/>
      <c r="AD293" s="57"/>
      <c r="AE293" s="71"/>
      <c r="AF293" s="57"/>
      <c r="AG293" s="57"/>
      <c r="AH293" s="57"/>
      <c r="AI293" s="57"/>
      <c r="AJ293" s="57"/>
      <c r="AK293" s="57"/>
      <c r="AL293" s="57"/>
      <c r="AM293" s="57"/>
      <c r="AN293" s="76"/>
      <c r="AO293" s="45"/>
      <c r="AP293" s="57"/>
      <c r="AQ293" s="57"/>
      <c r="AR293" s="57"/>
      <c r="AS293" s="57"/>
      <c r="AT293" s="57"/>
      <c r="AU293" s="57"/>
      <c r="AV293" s="57"/>
      <c r="AW293" s="57"/>
    </row>
    <row r="294" spans="1:49">
      <c r="A294" s="12" t="str">
        <f>Roster!A294</f>
        <v/>
      </c>
      <c r="B294" s="28">
        <f>Roster!C294</f>
        <v>0</v>
      </c>
      <c r="C294" s="55"/>
      <c r="D294" s="56"/>
      <c r="E294" s="57"/>
      <c r="F294" s="57"/>
      <c r="G294" s="57"/>
      <c r="H294" s="57"/>
      <c r="I294" s="57"/>
      <c r="J294" s="57"/>
      <c r="K294" s="45"/>
      <c r="L294" s="58"/>
      <c r="M294" s="56"/>
      <c r="N294" s="57"/>
      <c r="O294" s="57"/>
      <c r="P294" s="57"/>
      <c r="Q294" s="57"/>
      <c r="R294" s="57"/>
      <c r="S294" s="57"/>
      <c r="T294" s="45"/>
      <c r="U294" s="76"/>
      <c r="V294" s="45"/>
      <c r="W294" s="57"/>
      <c r="X294" s="57"/>
      <c r="Y294" s="57"/>
      <c r="Z294" s="57"/>
      <c r="AA294" s="57"/>
      <c r="AB294" s="57"/>
      <c r="AC294" s="57"/>
      <c r="AD294" s="57"/>
      <c r="AE294" s="71"/>
      <c r="AF294" s="57"/>
      <c r="AG294" s="57"/>
      <c r="AH294" s="57"/>
      <c r="AI294" s="57"/>
      <c r="AJ294" s="57"/>
      <c r="AK294" s="57"/>
      <c r="AL294" s="57"/>
      <c r="AM294" s="57"/>
      <c r="AN294" s="76"/>
      <c r="AO294" s="45"/>
      <c r="AP294" s="57"/>
      <c r="AQ294" s="57"/>
      <c r="AR294" s="57"/>
      <c r="AS294" s="57"/>
      <c r="AT294" s="57"/>
      <c r="AU294" s="57"/>
      <c r="AV294" s="57"/>
      <c r="AW294" s="57"/>
    </row>
    <row r="295" spans="1:49">
      <c r="A295" s="12" t="str">
        <f>Roster!A295</f>
        <v/>
      </c>
      <c r="B295" s="28">
        <f>Roster!C295</f>
        <v>0</v>
      </c>
      <c r="C295" s="55"/>
      <c r="D295" s="56"/>
      <c r="E295" s="57"/>
      <c r="F295" s="57"/>
      <c r="G295" s="57"/>
      <c r="H295" s="57"/>
      <c r="I295" s="57"/>
      <c r="J295" s="57"/>
      <c r="K295" s="45"/>
      <c r="L295" s="58"/>
      <c r="M295" s="56"/>
      <c r="N295" s="57"/>
      <c r="O295" s="57"/>
      <c r="P295" s="57"/>
      <c r="Q295" s="57"/>
      <c r="R295" s="57"/>
      <c r="S295" s="57"/>
      <c r="T295" s="45"/>
      <c r="U295" s="76"/>
      <c r="V295" s="45"/>
      <c r="W295" s="57"/>
      <c r="X295" s="57"/>
      <c r="Y295" s="57"/>
      <c r="Z295" s="57"/>
      <c r="AA295" s="57"/>
      <c r="AB295" s="57"/>
      <c r="AC295" s="57"/>
      <c r="AD295" s="57"/>
      <c r="AE295" s="71"/>
      <c r="AF295" s="57"/>
      <c r="AG295" s="57"/>
      <c r="AH295" s="57"/>
      <c r="AI295" s="57"/>
      <c r="AJ295" s="57"/>
      <c r="AK295" s="57"/>
      <c r="AL295" s="57"/>
      <c r="AM295" s="57"/>
      <c r="AN295" s="76"/>
      <c r="AO295" s="45"/>
      <c r="AP295" s="57"/>
      <c r="AQ295" s="57"/>
      <c r="AR295" s="57"/>
      <c r="AS295" s="57"/>
      <c r="AT295" s="57"/>
      <c r="AU295" s="57"/>
      <c r="AV295" s="57"/>
      <c r="AW295" s="57"/>
    </row>
    <row r="296" spans="1:49">
      <c r="A296" s="12" t="str">
        <f>Roster!A296</f>
        <v/>
      </c>
      <c r="B296" s="28">
        <f>Roster!C296</f>
        <v>0</v>
      </c>
      <c r="C296" s="55"/>
      <c r="D296" s="56"/>
      <c r="E296" s="57"/>
      <c r="F296" s="57"/>
      <c r="G296" s="57"/>
      <c r="H296" s="57"/>
      <c r="I296" s="57"/>
      <c r="J296" s="57"/>
      <c r="K296" s="45"/>
      <c r="L296" s="58"/>
      <c r="M296" s="56"/>
      <c r="N296" s="57"/>
      <c r="O296" s="57"/>
      <c r="P296" s="57"/>
      <c r="Q296" s="57"/>
      <c r="R296" s="57"/>
      <c r="S296" s="57"/>
      <c r="T296" s="45"/>
      <c r="U296" s="76"/>
      <c r="V296" s="45"/>
      <c r="W296" s="57"/>
      <c r="X296" s="57"/>
      <c r="Y296" s="57"/>
      <c r="Z296" s="57"/>
      <c r="AA296" s="57"/>
      <c r="AB296" s="57"/>
      <c r="AC296" s="57"/>
      <c r="AD296" s="57"/>
      <c r="AE296" s="71"/>
      <c r="AF296" s="57"/>
      <c r="AG296" s="57"/>
      <c r="AH296" s="57"/>
      <c r="AI296" s="57"/>
      <c r="AJ296" s="57"/>
      <c r="AK296" s="57"/>
      <c r="AL296" s="57"/>
      <c r="AM296" s="57"/>
      <c r="AN296" s="76"/>
      <c r="AO296" s="45"/>
      <c r="AP296" s="57"/>
      <c r="AQ296" s="57"/>
      <c r="AR296" s="57"/>
      <c r="AS296" s="57"/>
      <c r="AT296" s="57"/>
      <c r="AU296" s="57"/>
      <c r="AV296" s="57"/>
      <c r="AW296" s="57"/>
    </row>
    <row r="297" spans="1:49">
      <c r="A297" s="12" t="str">
        <f>Roster!A297</f>
        <v/>
      </c>
      <c r="B297" s="28">
        <f>Roster!C297</f>
        <v>0</v>
      </c>
      <c r="C297" s="55"/>
      <c r="D297" s="56"/>
      <c r="E297" s="57"/>
      <c r="F297" s="57"/>
      <c r="G297" s="57"/>
      <c r="H297" s="57"/>
      <c r="I297" s="57"/>
      <c r="J297" s="57"/>
      <c r="K297" s="45"/>
      <c r="L297" s="58"/>
      <c r="M297" s="56"/>
      <c r="N297" s="57"/>
      <c r="O297" s="57"/>
      <c r="P297" s="57"/>
      <c r="Q297" s="57"/>
      <c r="R297" s="57"/>
      <c r="S297" s="57"/>
      <c r="T297" s="45"/>
      <c r="U297" s="76"/>
      <c r="V297" s="45"/>
      <c r="W297" s="57"/>
      <c r="X297" s="57"/>
      <c r="Y297" s="57"/>
      <c r="Z297" s="57"/>
      <c r="AA297" s="57"/>
      <c r="AB297" s="57"/>
      <c r="AC297" s="57"/>
      <c r="AD297" s="57"/>
      <c r="AE297" s="71"/>
      <c r="AF297" s="57"/>
      <c r="AG297" s="57"/>
      <c r="AH297" s="57"/>
      <c r="AI297" s="57"/>
      <c r="AJ297" s="57"/>
      <c r="AK297" s="57"/>
      <c r="AL297" s="57"/>
      <c r="AM297" s="57"/>
      <c r="AN297" s="76"/>
      <c r="AO297" s="45"/>
      <c r="AP297" s="57"/>
      <c r="AQ297" s="57"/>
      <c r="AR297" s="57"/>
      <c r="AS297" s="57"/>
      <c r="AT297" s="57"/>
      <c r="AU297" s="57"/>
      <c r="AV297" s="57"/>
      <c r="AW297" s="57"/>
    </row>
    <row r="298" spans="1:49">
      <c r="A298" s="12" t="str">
        <f>Roster!A298</f>
        <v/>
      </c>
      <c r="B298" s="28">
        <f>Roster!C298</f>
        <v>0</v>
      </c>
      <c r="C298" s="55"/>
      <c r="D298" s="56"/>
      <c r="E298" s="57"/>
      <c r="F298" s="57"/>
      <c r="G298" s="57"/>
      <c r="H298" s="57"/>
      <c r="I298" s="57"/>
      <c r="J298" s="57"/>
      <c r="K298" s="45"/>
      <c r="L298" s="58"/>
      <c r="M298" s="56"/>
      <c r="N298" s="57"/>
      <c r="O298" s="57"/>
      <c r="P298" s="57"/>
      <c r="Q298" s="57"/>
      <c r="R298" s="57"/>
      <c r="S298" s="57"/>
      <c r="T298" s="45"/>
      <c r="U298" s="76"/>
      <c r="V298" s="45"/>
      <c r="W298" s="57"/>
      <c r="X298" s="57"/>
      <c r="Y298" s="57"/>
      <c r="Z298" s="57"/>
      <c r="AA298" s="57"/>
      <c r="AB298" s="57"/>
      <c r="AC298" s="57"/>
      <c r="AD298" s="57"/>
      <c r="AE298" s="71"/>
      <c r="AF298" s="57"/>
      <c r="AG298" s="57"/>
      <c r="AH298" s="57"/>
      <c r="AI298" s="57"/>
      <c r="AJ298" s="57"/>
      <c r="AK298" s="57"/>
      <c r="AL298" s="57"/>
      <c r="AM298" s="57"/>
      <c r="AN298" s="76"/>
      <c r="AO298" s="45"/>
      <c r="AP298" s="57"/>
      <c r="AQ298" s="57"/>
      <c r="AR298" s="57"/>
      <c r="AS298" s="57"/>
      <c r="AT298" s="57"/>
      <c r="AU298" s="57"/>
      <c r="AV298" s="57"/>
      <c r="AW298" s="57"/>
    </row>
    <row r="299" spans="1:49">
      <c r="A299" s="12" t="str">
        <f>Roster!A299</f>
        <v/>
      </c>
      <c r="B299" s="28">
        <f>Roster!C299</f>
        <v>0</v>
      </c>
      <c r="C299" s="55"/>
      <c r="D299" s="56"/>
      <c r="E299" s="57"/>
      <c r="F299" s="57"/>
      <c r="G299" s="57"/>
      <c r="H299" s="57"/>
      <c r="I299" s="57"/>
      <c r="J299" s="57"/>
      <c r="K299" s="45"/>
      <c r="L299" s="58"/>
      <c r="M299" s="56"/>
      <c r="N299" s="57"/>
      <c r="O299" s="57"/>
      <c r="P299" s="57"/>
      <c r="Q299" s="57"/>
      <c r="R299" s="57"/>
      <c r="S299" s="57"/>
      <c r="T299" s="45"/>
      <c r="U299" s="76"/>
      <c r="V299" s="45"/>
      <c r="W299" s="57"/>
      <c r="X299" s="57"/>
      <c r="Y299" s="57"/>
      <c r="Z299" s="57"/>
      <c r="AA299" s="57"/>
      <c r="AB299" s="57"/>
      <c r="AC299" s="57"/>
      <c r="AD299" s="57"/>
      <c r="AE299" s="71"/>
      <c r="AF299" s="57"/>
      <c r="AG299" s="57"/>
      <c r="AH299" s="57"/>
      <c r="AI299" s="57"/>
      <c r="AJ299" s="57"/>
      <c r="AK299" s="57"/>
      <c r="AL299" s="57"/>
      <c r="AM299" s="57"/>
      <c r="AN299" s="76"/>
      <c r="AO299" s="45"/>
      <c r="AP299" s="57"/>
      <c r="AQ299" s="57"/>
      <c r="AR299" s="57"/>
      <c r="AS299" s="57"/>
      <c r="AT299" s="57"/>
      <c r="AU299" s="57"/>
      <c r="AV299" s="57"/>
      <c r="AW299" s="57"/>
    </row>
    <row r="300" spans="1:49">
      <c r="A300" s="12" t="str">
        <f>Roster!A300</f>
        <v/>
      </c>
      <c r="B300" s="28">
        <f>Roster!C300</f>
        <v>0</v>
      </c>
      <c r="C300" s="55"/>
      <c r="D300" s="56"/>
      <c r="E300" s="57"/>
      <c r="F300" s="57"/>
      <c r="G300" s="57"/>
      <c r="H300" s="57"/>
      <c r="I300" s="57"/>
      <c r="J300" s="57"/>
      <c r="K300" s="45"/>
      <c r="L300" s="58"/>
      <c r="M300" s="56"/>
      <c r="N300" s="57"/>
      <c r="O300" s="57"/>
      <c r="P300" s="57"/>
      <c r="Q300" s="57"/>
      <c r="R300" s="57"/>
      <c r="S300" s="57"/>
      <c r="T300" s="45"/>
      <c r="U300" s="76"/>
      <c r="V300" s="45"/>
      <c r="W300" s="57"/>
      <c r="X300" s="57"/>
      <c r="Y300" s="57"/>
      <c r="Z300" s="57"/>
      <c r="AA300" s="57"/>
      <c r="AB300" s="57"/>
      <c r="AC300" s="57"/>
      <c r="AD300" s="57"/>
      <c r="AE300" s="71"/>
      <c r="AF300" s="57"/>
      <c r="AG300" s="57"/>
      <c r="AH300" s="57"/>
      <c r="AI300" s="57"/>
      <c r="AJ300" s="57"/>
      <c r="AK300" s="57"/>
      <c r="AL300" s="57"/>
      <c r="AM300" s="57"/>
      <c r="AN300" s="76"/>
      <c r="AO300" s="45"/>
      <c r="AP300" s="57"/>
      <c r="AQ300" s="57"/>
      <c r="AR300" s="57"/>
      <c r="AS300" s="57"/>
      <c r="AT300" s="57"/>
      <c r="AU300" s="57"/>
      <c r="AV300" s="57"/>
      <c r="AW300" s="57"/>
    </row>
    <row r="301" spans="1:49">
      <c r="A301" s="12" t="str">
        <f>Roster!A301</f>
        <v/>
      </c>
      <c r="B301" s="28">
        <f>Roster!C301</f>
        <v>0</v>
      </c>
      <c r="C301" s="55"/>
      <c r="D301" s="56"/>
      <c r="E301" s="57"/>
      <c r="F301" s="57"/>
      <c r="G301" s="57"/>
      <c r="H301" s="57"/>
      <c r="I301" s="57"/>
      <c r="J301" s="57"/>
      <c r="K301" s="45"/>
      <c r="L301" s="58"/>
      <c r="M301" s="56"/>
      <c r="N301" s="57"/>
      <c r="O301" s="57"/>
      <c r="P301" s="57"/>
      <c r="Q301" s="57"/>
      <c r="R301" s="57"/>
      <c r="S301" s="57"/>
      <c r="T301" s="45"/>
      <c r="U301" s="76"/>
      <c r="V301" s="45"/>
      <c r="W301" s="57"/>
      <c r="X301" s="57"/>
      <c r="Y301" s="57"/>
      <c r="Z301" s="57"/>
      <c r="AA301" s="57"/>
      <c r="AB301" s="57"/>
      <c r="AC301" s="57"/>
      <c r="AD301" s="57"/>
      <c r="AE301" s="71"/>
      <c r="AF301" s="57"/>
      <c r="AG301" s="57"/>
      <c r="AH301" s="57"/>
      <c r="AI301" s="57"/>
      <c r="AJ301" s="57"/>
      <c r="AK301" s="57"/>
      <c r="AL301" s="57"/>
      <c r="AM301" s="57"/>
      <c r="AN301" s="76"/>
      <c r="AO301" s="45"/>
      <c r="AP301" s="57"/>
      <c r="AQ301" s="57"/>
      <c r="AR301" s="57"/>
      <c r="AS301" s="57"/>
      <c r="AT301" s="57"/>
      <c r="AU301" s="57"/>
      <c r="AV301" s="57"/>
      <c r="AW301" s="57"/>
    </row>
  </sheetData>
  <sheetProtection algorithmName="SHA-512" hashValue="A1tvjbAwpsDX1fiVfewndp6n2n6kfrUuYeDx1fHbMFA9TRRxYbXll03pClBnSg6isxcRU2tNwcSRQbvNo7L6mQ==" saltValue="XysTzDYGrxftSXFsZZKRfQ==" spinCount="100000" sheet="1" objects="1" scenarios="1"/>
  <mergeCells count="8">
    <mergeCell ref="A1:B1"/>
    <mergeCell ref="U1:V1"/>
    <mergeCell ref="W1:AD1"/>
    <mergeCell ref="AF1:AM1"/>
    <mergeCell ref="AP1:AW1"/>
    <mergeCell ref="AN1:AO1"/>
    <mergeCell ref="D1:K1"/>
    <mergeCell ref="M1:T1"/>
  </mergeCells>
  <phoneticPr fontId="2" type="noConversion"/>
  <dataValidations count="1">
    <dataValidation type="whole" allowBlank="1" showInputMessage="1" showErrorMessage="1" errorTitle="Invalid Entry" error="You must use a 1 or leave the cell blank!" sqref="E3:J301 N3:S301 X3:AC301 AG3:AL301 AQ3:AV301" xr:uid="{3F249073-5D98-4656-B14D-408A4956E3C6}">
      <formula1>1</formula1>
      <formula2>1</formula2>
    </dataValidation>
  </dataValidations>
  <pageMargins left="0.25" right="0.25" top="0.75" bottom="0.75" header="0.3" footer="0.3"/>
  <pageSetup orientation="landscape"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use the dropdown menu for your entry!" xr:uid="{C34F45D7-7C5A-4115-9F54-B4C0F2CD95F7}">
          <x14:formula1>
            <xm:f>'DropDown Lists'!$E$2:$E$4</xm:f>
          </x14:formula1>
          <xm:sqref>C3:C301 L3:L301 U3:U301 AE3:AE301 AN3:AN301</xm:sqref>
        </x14:dataValidation>
        <x14:dataValidation type="list" allowBlank="1" showInputMessage="1" showErrorMessage="1" errorTitle="Invalid Entry" error="Please use the dropdown menu for your entry!" xr:uid="{4F01F4B1-771F-42A7-8E5B-01A2426691E5}">
          <x14:formula1>
            <xm:f>'DropDown Lists'!$F$2:$F$4</xm:f>
          </x14:formula1>
          <xm:sqref>D3:D301 M3:M301 W3:W301 AF3:AF301 AP3:AP301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8781-A2ED-43D2-88B5-370E3E194591}">
  <sheetPr>
    <tabColor rgb="FFFFFF00"/>
  </sheetPr>
  <dimension ref="A1:BM301"/>
  <sheetViews>
    <sheetView zoomScale="85" zoomScaleNormal="85" workbookViewId="0">
      <pane xSplit="1" ySplit="2" topLeftCell="B3" activePane="bottomRight" state="frozen"/>
      <selection pane="topRight" activeCell="B1" sqref="B1"/>
      <selection pane="bottomLeft" activeCell="A2" sqref="A2"/>
      <selection pane="bottomRight" activeCell="C3" sqref="C3"/>
    </sheetView>
  </sheetViews>
  <sheetFormatPr defaultColWidth="8.85546875" defaultRowHeight="15"/>
  <cols>
    <col min="1" max="1" width="19.140625" customWidth="1"/>
    <col min="2" max="2" width="5.85546875" style="25" customWidth="1"/>
    <col min="3" max="3" width="18.7109375" style="25" customWidth="1"/>
    <col min="4" max="4" width="10.7109375" customWidth="1"/>
    <col min="5" max="10" width="5" customWidth="1"/>
    <col min="11" max="11" width="15" style="5" customWidth="1"/>
    <col min="12" max="12" width="18.7109375" style="35" customWidth="1"/>
    <col min="13" max="13" width="12.85546875" customWidth="1"/>
    <col min="14" max="19" width="5" customWidth="1"/>
    <col min="20" max="20" width="15" customWidth="1"/>
    <col min="21" max="21" width="18.7109375" style="36" customWidth="1"/>
    <col min="22" max="22" width="12.85546875" customWidth="1"/>
    <col min="23" max="28" width="5" customWidth="1"/>
    <col min="29" max="29" width="15" customWidth="1"/>
    <col min="30" max="30" width="18.7109375" style="36" customWidth="1"/>
    <col min="31" max="31" width="12.85546875" customWidth="1"/>
    <col min="32" max="37" width="5" customWidth="1"/>
    <col min="38" max="38" width="15" customWidth="1"/>
    <col min="39" max="39" width="18.7109375" style="36" customWidth="1"/>
    <col min="40" max="40" width="12.85546875" customWidth="1"/>
    <col min="41" max="46" width="5" customWidth="1"/>
    <col min="47" max="47" width="15" customWidth="1"/>
    <col min="48" max="48" width="18.7109375" style="36" customWidth="1"/>
    <col min="49" max="49" width="12.85546875" customWidth="1"/>
    <col min="50" max="55" width="5" style="25" customWidth="1"/>
    <col min="56" max="56" width="15" customWidth="1"/>
    <col min="57" max="57" width="18.7109375" style="36" customWidth="1"/>
    <col min="58" max="58" width="12.85546875" customWidth="1"/>
    <col min="59" max="64" width="5" style="25" customWidth="1"/>
    <col min="65" max="65" width="15" customWidth="1"/>
  </cols>
  <sheetData>
    <row r="1" spans="1:65" ht="14.45" customHeight="1">
      <c r="A1" s="221" t="s">
        <v>39</v>
      </c>
      <c r="B1" s="222"/>
      <c r="C1" s="34" t="s">
        <v>40</v>
      </c>
      <c r="D1" s="218" t="s">
        <v>41</v>
      </c>
      <c r="E1" s="219"/>
      <c r="F1" s="219"/>
      <c r="G1" s="219"/>
      <c r="H1" s="219"/>
      <c r="I1" s="219"/>
      <c r="J1" s="219"/>
      <c r="K1" s="219"/>
      <c r="L1" s="34" t="s">
        <v>42</v>
      </c>
      <c r="M1" s="218" t="s">
        <v>41</v>
      </c>
      <c r="N1" s="219"/>
      <c r="O1" s="219"/>
      <c r="P1" s="219"/>
      <c r="Q1" s="219"/>
      <c r="R1" s="219"/>
      <c r="S1" s="219"/>
      <c r="T1" s="219"/>
      <c r="U1" s="34" t="s">
        <v>43</v>
      </c>
      <c r="V1" s="218" t="s">
        <v>41</v>
      </c>
      <c r="W1" s="219"/>
      <c r="X1" s="219"/>
      <c r="Y1" s="219"/>
      <c r="Z1" s="219"/>
      <c r="AA1" s="219"/>
      <c r="AB1" s="219"/>
      <c r="AC1" s="219"/>
      <c r="AD1" s="34" t="s">
        <v>44</v>
      </c>
      <c r="AE1" s="218" t="s">
        <v>41</v>
      </c>
      <c r="AF1" s="219"/>
      <c r="AG1" s="219"/>
      <c r="AH1" s="219"/>
      <c r="AI1" s="219"/>
      <c r="AJ1" s="219"/>
      <c r="AK1" s="219"/>
      <c r="AL1" s="219"/>
      <c r="AM1" s="34" t="s">
        <v>45</v>
      </c>
      <c r="AN1" s="218" t="s">
        <v>41</v>
      </c>
      <c r="AO1" s="219"/>
      <c r="AP1" s="219"/>
      <c r="AQ1" s="219"/>
      <c r="AR1" s="219"/>
      <c r="AS1" s="219"/>
      <c r="AT1" s="219"/>
      <c r="AU1" s="219"/>
      <c r="AV1" s="33" t="s">
        <v>46</v>
      </c>
      <c r="AW1" s="218" t="s">
        <v>41</v>
      </c>
      <c r="AX1" s="219"/>
      <c r="AY1" s="219"/>
      <c r="AZ1" s="219"/>
      <c r="BA1" s="219"/>
      <c r="BB1" s="219"/>
      <c r="BC1" s="219"/>
      <c r="BD1" s="220"/>
      <c r="BE1" s="33" t="s">
        <v>47</v>
      </c>
      <c r="BF1" s="218" t="s">
        <v>41</v>
      </c>
      <c r="BG1" s="219"/>
      <c r="BH1" s="219"/>
      <c r="BI1" s="219"/>
      <c r="BJ1" s="219"/>
      <c r="BK1" s="219"/>
      <c r="BL1" s="219"/>
      <c r="BM1" s="220"/>
    </row>
    <row r="2" spans="1:65" ht="218.25">
      <c r="A2" s="201" t="s">
        <v>33</v>
      </c>
      <c r="B2" s="202" t="s">
        <v>6</v>
      </c>
      <c r="C2" s="14" t="s">
        <v>144</v>
      </c>
      <c r="D2" s="14" t="s">
        <v>51</v>
      </c>
      <c r="E2" s="4" t="s">
        <v>52</v>
      </c>
      <c r="F2" s="4" t="s">
        <v>53</v>
      </c>
      <c r="G2" s="4" t="s">
        <v>54</v>
      </c>
      <c r="H2" s="4" t="s">
        <v>55</v>
      </c>
      <c r="I2" s="4" t="s">
        <v>56</v>
      </c>
      <c r="J2" s="4" t="s">
        <v>57</v>
      </c>
      <c r="K2" s="18" t="s">
        <v>58</v>
      </c>
      <c r="L2" s="195" t="s">
        <v>145</v>
      </c>
      <c r="M2" s="196" t="s">
        <v>60</v>
      </c>
      <c r="N2" s="197" t="s">
        <v>61</v>
      </c>
      <c r="O2" s="197" t="s">
        <v>62</v>
      </c>
      <c r="P2" s="197" t="s">
        <v>63</v>
      </c>
      <c r="Q2" s="197" t="s">
        <v>64</v>
      </c>
      <c r="R2" s="197" t="s">
        <v>65</v>
      </c>
      <c r="S2" s="197" t="s">
        <v>66</v>
      </c>
      <c r="T2" s="198" t="s">
        <v>67</v>
      </c>
      <c r="U2" s="19" t="s">
        <v>146</v>
      </c>
      <c r="V2" s="15" t="s">
        <v>69</v>
      </c>
      <c r="W2" s="17" t="s">
        <v>70</v>
      </c>
      <c r="X2" s="17" t="s">
        <v>71</v>
      </c>
      <c r="Y2" s="17" t="s">
        <v>72</v>
      </c>
      <c r="Z2" s="17" t="s">
        <v>73</v>
      </c>
      <c r="AA2" s="17" t="s">
        <v>74</v>
      </c>
      <c r="AB2" s="17" t="s">
        <v>75</v>
      </c>
      <c r="AC2" s="22" t="s">
        <v>76</v>
      </c>
      <c r="AD2" s="199" t="s">
        <v>147</v>
      </c>
      <c r="AE2" s="196" t="s">
        <v>78</v>
      </c>
      <c r="AF2" s="200" t="s">
        <v>79</v>
      </c>
      <c r="AG2" s="200" t="s">
        <v>80</v>
      </c>
      <c r="AH2" s="200" t="s">
        <v>81</v>
      </c>
      <c r="AI2" s="200" t="s">
        <v>82</v>
      </c>
      <c r="AJ2" s="200" t="s">
        <v>83</v>
      </c>
      <c r="AK2" s="200" t="s">
        <v>84</v>
      </c>
      <c r="AL2" s="198" t="s">
        <v>85</v>
      </c>
      <c r="AM2" s="19" t="s">
        <v>148</v>
      </c>
      <c r="AN2" s="15" t="s">
        <v>87</v>
      </c>
      <c r="AO2" s="17" t="s">
        <v>88</v>
      </c>
      <c r="AP2" s="17" t="s">
        <v>89</v>
      </c>
      <c r="AQ2" s="17" t="s">
        <v>90</v>
      </c>
      <c r="AR2" s="17" t="s">
        <v>91</v>
      </c>
      <c r="AS2" s="17" t="s">
        <v>92</v>
      </c>
      <c r="AT2" s="17" t="s">
        <v>93</v>
      </c>
      <c r="AU2" s="22" t="s">
        <v>94</v>
      </c>
      <c r="AV2" s="199" t="s">
        <v>149</v>
      </c>
      <c r="AW2" s="196" t="s">
        <v>96</v>
      </c>
      <c r="AX2" s="197" t="s">
        <v>97</v>
      </c>
      <c r="AY2" s="197" t="s">
        <v>98</v>
      </c>
      <c r="AZ2" s="197" t="s">
        <v>99</v>
      </c>
      <c r="BA2" s="197" t="s">
        <v>100</v>
      </c>
      <c r="BB2" s="197" t="s">
        <v>101</v>
      </c>
      <c r="BC2" s="197" t="s">
        <v>102</v>
      </c>
      <c r="BD2" s="198" t="s">
        <v>103</v>
      </c>
      <c r="BE2" s="19" t="s">
        <v>150</v>
      </c>
      <c r="BF2" s="15" t="s">
        <v>105</v>
      </c>
      <c r="BG2" s="17" t="s">
        <v>106</v>
      </c>
      <c r="BH2" s="17" t="s">
        <v>107</v>
      </c>
      <c r="BI2" s="17" t="s">
        <v>108</v>
      </c>
      <c r="BJ2" s="17" t="s">
        <v>109</v>
      </c>
      <c r="BK2" s="17" t="s">
        <v>110</v>
      </c>
      <c r="BL2" s="17" t="s">
        <v>111</v>
      </c>
      <c r="BM2" s="22" t="s">
        <v>151</v>
      </c>
    </row>
    <row r="3" spans="1:65">
      <c r="A3" s="12" t="str">
        <f>Roster!A3</f>
        <v/>
      </c>
      <c r="B3" s="28">
        <f>Roster!C3</f>
        <v>0</v>
      </c>
      <c r="C3" s="55"/>
      <c r="D3" s="56"/>
      <c r="E3" s="57"/>
      <c r="F3" s="57"/>
      <c r="G3" s="57"/>
      <c r="H3" s="57"/>
      <c r="I3" s="57"/>
      <c r="J3" s="57"/>
      <c r="K3" s="51"/>
      <c r="L3" s="58"/>
      <c r="M3" s="56"/>
      <c r="N3" s="57"/>
      <c r="O3" s="57"/>
      <c r="P3" s="57"/>
      <c r="Q3" s="57"/>
      <c r="R3" s="57"/>
      <c r="S3" s="57"/>
      <c r="T3" s="51"/>
      <c r="U3" s="59"/>
      <c r="V3" s="60"/>
      <c r="W3" s="61"/>
      <c r="X3" s="61"/>
      <c r="Y3" s="61"/>
      <c r="Z3" s="61"/>
      <c r="AA3" s="61"/>
      <c r="AB3" s="61"/>
      <c r="AC3" s="62"/>
      <c r="AD3" s="59"/>
      <c r="AE3" s="60"/>
      <c r="AF3" s="61"/>
      <c r="AG3" s="61"/>
      <c r="AH3" s="61"/>
      <c r="AI3" s="61"/>
      <c r="AJ3" s="61"/>
      <c r="AK3" s="61"/>
      <c r="AL3" s="62"/>
      <c r="AM3" s="59"/>
      <c r="AN3" s="60"/>
      <c r="AO3" s="61"/>
      <c r="AP3" s="61"/>
      <c r="AQ3" s="61"/>
      <c r="AR3" s="61"/>
      <c r="AS3" s="61"/>
      <c r="AT3" s="61"/>
      <c r="AU3" s="62"/>
      <c r="AV3" s="59"/>
      <c r="AW3" s="60"/>
      <c r="AX3" s="63"/>
      <c r="AY3" s="63"/>
      <c r="AZ3" s="63"/>
      <c r="BA3" s="63"/>
      <c r="BB3" s="63"/>
      <c r="BC3" s="63"/>
      <c r="BD3" s="62"/>
      <c r="BE3" s="59"/>
      <c r="BF3" s="63"/>
      <c r="BG3" s="63"/>
      <c r="BH3" s="63"/>
      <c r="BI3" s="63"/>
      <c r="BJ3" s="63"/>
      <c r="BK3" s="63"/>
      <c r="BL3" s="63"/>
      <c r="BM3" s="64"/>
    </row>
    <row r="4" spans="1:65">
      <c r="A4" s="12" t="str">
        <f>Roster!A4</f>
        <v/>
      </c>
      <c r="B4" s="28">
        <f>Roster!C4</f>
        <v>0</v>
      </c>
      <c r="C4" s="55"/>
      <c r="D4" s="56"/>
      <c r="E4" s="57"/>
      <c r="F4" s="57"/>
      <c r="G4" s="57"/>
      <c r="H4" s="57"/>
      <c r="I4" s="57"/>
      <c r="J4" s="57"/>
      <c r="K4" s="51"/>
      <c r="L4" s="58"/>
      <c r="M4" s="56"/>
      <c r="N4" s="57"/>
      <c r="O4" s="57"/>
      <c r="P4" s="57"/>
      <c r="Q4" s="57"/>
      <c r="R4" s="57"/>
      <c r="S4" s="57"/>
      <c r="T4" s="51"/>
      <c r="U4" s="65"/>
      <c r="V4" s="56"/>
      <c r="W4" s="57"/>
      <c r="X4" s="57"/>
      <c r="Y4" s="57"/>
      <c r="Z4" s="57"/>
      <c r="AA4" s="57"/>
      <c r="AB4" s="57"/>
      <c r="AC4" s="51"/>
      <c r="AD4" s="65"/>
      <c r="AE4" s="56"/>
      <c r="AF4" s="57"/>
      <c r="AG4" s="57"/>
      <c r="AH4" s="57"/>
      <c r="AI4" s="57"/>
      <c r="AJ4" s="57"/>
      <c r="AK4" s="57"/>
      <c r="AL4" s="51"/>
      <c r="AM4" s="65"/>
      <c r="AN4" s="56"/>
      <c r="AO4" s="57"/>
      <c r="AP4" s="57"/>
      <c r="AQ4" s="57"/>
      <c r="AR4" s="57"/>
      <c r="AS4" s="57"/>
      <c r="AT4" s="57"/>
      <c r="AU4" s="51"/>
      <c r="AV4" s="65"/>
      <c r="AW4" s="56"/>
      <c r="AX4" s="55"/>
      <c r="AY4" s="55"/>
      <c r="AZ4" s="55"/>
      <c r="BA4" s="55"/>
      <c r="BB4" s="55"/>
      <c r="BC4" s="55"/>
      <c r="BD4" s="51"/>
      <c r="BE4" s="65"/>
      <c r="BF4" s="55"/>
      <c r="BG4" s="55"/>
      <c r="BH4" s="55"/>
      <c r="BI4" s="55"/>
      <c r="BJ4" s="55"/>
      <c r="BK4" s="55"/>
      <c r="BL4" s="55"/>
      <c r="BM4" s="66"/>
    </row>
    <row r="5" spans="1:65">
      <c r="A5" s="12" t="str">
        <f>Roster!A5</f>
        <v/>
      </c>
      <c r="B5" s="28">
        <f>Roster!C5</f>
        <v>0</v>
      </c>
      <c r="C5" s="55"/>
      <c r="D5" s="56"/>
      <c r="E5" s="57"/>
      <c r="F5" s="57"/>
      <c r="G5" s="57"/>
      <c r="H5" s="57"/>
      <c r="I5" s="57"/>
      <c r="J5" s="57"/>
      <c r="K5" s="51"/>
      <c r="L5" s="58"/>
      <c r="M5" s="56"/>
      <c r="N5" s="57"/>
      <c r="O5" s="57"/>
      <c r="P5" s="57"/>
      <c r="Q5" s="57"/>
      <c r="R5" s="57"/>
      <c r="S5" s="57"/>
      <c r="T5" s="51"/>
      <c r="U5" s="65"/>
      <c r="V5" s="56"/>
      <c r="W5" s="57"/>
      <c r="X5" s="57"/>
      <c r="Y5" s="57"/>
      <c r="Z5" s="57"/>
      <c r="AA5" s="57"/>
      <c r="AB5" s="57"/>
      <c r="AC5" s="51"/>
      <c r="AD5" s="65"/>
      <c r="AE5" s="56"/>
      <c r="AF5" s="57"/>
      <c r="AG5" s="57"/>
      <c r="AH5" s="57"/>
      <c r="AI5" s="57"/>
      <c r="AJ5" s="57"/>
      <c r="AK5" s="57"/>
      <c r="AL5" s="51"/>
      <c r="AM5" s="65"/>
      <c r="AN5" s="56"/>
      <c r="AO5" s="57"/>
      <c r="AP5" s="57"/>
      <c r="AQ5" s="57"/>
      <c r="AR5" s="57"/>
      <c r="AS5" s="57"/>
      <c r="AT5" s="57"/>
      <c r="AU5" s="51"/>
      <c r="AV5" s="65"/>
      <c r="AW5" s="56"/>
      <c r="AX5" s="55"/>
      <c r="AY5" s="55"/>
      <c r="AZ5" s="55"/>
      <c r="BA5" s="55"/>
      <c r="BB5" s="55"/>
      <c r="BC5" s="55"/>
      <c r="BD5" s="51"/>
      <c r="BE5" s="65"/>
      <c r="BF5" s="55"/>
      <c r="BG5" s="55"/>
      <c r="BH5" s="55"/>
      <c r="BI5" s="55"/>
      <c r="BJ5" s="55"/>
      <c r="BK5" s="55"/>
      <c r="BL5" s="55"/>
      <c r="BM5" s="66"/>
    </row>
    <row r="6" spans="1:65">
      <c r="A6" s="12" t="str">
        <f>Roster!A6</f>
        <v/>
      </c>
      <c r="B6" s="28">
        <f>Roster!C6</f>
        <v>0</v>
      </c>
      <c r="C6" s="55"/>
      <c r="D6" s="56"/>
      <c r="E6" s="57"/>
      <c r="F6" s="57"/>
      <c r="G6" s="57"/>
      <c r="H6" s="57"/>
      <c r="I6" s="57"/>
      <c r="J6" s="57"/>
      <c r="K6" s="51"/>
      <c r="L6" s="58"/>
      <c r="M6" s="56"/>
      <c r="N6" s="57"/>
      <c r="O6" s="57"/>
      <c r="P6" s="57"/>
      <c r="Q6" s="57"/>
      <c r="R6" s="57"/>
      <c r="S6" s="57"/>
      <c r="T6" s="51"/>
      <c r="U6" s="65"/>
      <c r="V6" s="56"/>
      <c r="W6" s="57"/>
      <c r="X6" s="57"/>
      <c r="Y6" s="57"/>
      <c r="Z6" s="57"/>
      <c r="AA6" s="57"/>
      <c r="AB6" s="57"/>
      <c r="AC6" s="51"/>
      <c r="AD6" s="65"/>
      <c r="AE6" s="56"/>
      <c r="AF6" s="57"/>
      <c r="AG6" s="57"/>
      <c r="AH6" s="57"/>
      <c r="AI6" s="57"/>
      <c r="AJ6" s="57"/>
      <c r="AK6" s="57"/>
      <c r="AL6" s="51"/>
      <c r="AM6" s="65"/>
      <c r="AN6" s="56"/>
      <c r="AO6" s="57"/>
      <c r="AP6" s="57"/>
      <c r="AQ6" s="57"/>
      <c r="AR6" s="57"/>
      <c r="AS6" s="57"/>
      <c r="AT6" s="57"/>
      <c r="AU6" s="51"/>
      <c r="AV6" s="65"/>
      <c r="AW6" s="56"/>
      <c r="AX6" s="55"/>
      <c r="AY6" s="55"/>
      <c r="AZ6" s="55"/>
      <c r="BA6" s="55"/>
      <c r="BB6" s="55"/>
      <c r="BC6" s="55"/>
      <c r="BD6" s="51"/>
      <c r="BE6" s="65"/>
      <c r="BF6" s="55"/>
      <c r="BG6" s="55"/>
      <c r="BH6" s="55"/>
      <c r="BI6" s="55"/>
      <c r="BJ6" s="55"/>
      <c r="BK6" s="55"/>
      <c r="BL6" s="55"/>
      <c r="BM6" s="66"/>
    </row>
    <row r="7" spans="1:65">
      <c r="A7" s="12" t="str">
        <f>Roster!A7</f>
        <v/>
      </c>
      <c r="B7" s="28">
        <f>Roster!C7</f>
        <v>0</v>
      </c>
      <c r="C7" s="55"/>
      <c r="D7" s="56"/>
      <c r="E7" s="57"/>
      <c r="F7" s="57"/>
      <c r="G7" s="57"/>
      <c r="H7" s="57"/>
      <c r="I7" s="57"/>
      <c r="J7" s="57"/>
      <c r="K7" s="51"/>
      <c r="L7" s="58"/>
      <c r="M7" s="56"/>
      <c r="N7" s="57"/>
      <c r="O7" s="57"/>
      <c r="P7" s="57"/>
      <c r="Q7" s="57"/>
      <c r="R7" s="57"/>
      <c r="S7" s="57"/>
      <c r="T7" s="51"/>
      <c r="U7" s="65"/>
      <c r="V7" s="56"/>
      <c r="W7" s="57"/>
      <c r="X7" s="57"/>
      <c r="Y7" s="57"/>
      <c r="Z7" s="57"/>
      <c r="AA7" s="57"/>
      <c r="AB7" s="57"/>
      <c r="AC7" s="51"/>
      <c r="AD7" s="65"/>
      <c r="AE7" s="56"/>
      <c r="AF7" s="57"/>
      <c r="AG7" s="57"/>
      <c r="AH7" s="57"/>
      <c r="AI7" s="57"/>
      <c r="AJ7" s="57"/>
      <c r="AK7" s="57"/>
      <c r="AL7" s="51"/>
      <c r="AM7" s="65"/>
      <c r="AN7" s="56"/>
      <c r="AO7" s="57"/>
      <c r="AP7" s="57"/>
      <c r="AQ7" s="57"/>
      <c r="AR7" s="57"/>
      <c r="AS7" s="57"/>
      <c r="AT7" s="57"/>
      <c r="AU7" s="51"/>
      <c r="AV7" s="65"/>
      <c r="AW7" s="56"/>
      <c r="AX7" s="55"/>
      <c r="AY7" s="55"/>
      <c r="AZ7" s="55"/>
      <c r="BA7" s="55"/>
      <c r="BB7" s="55"/>
      <c r="BC7" s="55"/>
      <c r="BD7" s="51"/>
      <c r="BE7" s="65"/>
      <c r="BF7" s="55"/>
      <c r="BG7" s="55"/>
      <c r="BH7" s="55"/>
      <c r="BI7" s="55"/>
      <c r="BJ7" s="55"/>
      <c r="BK7" s="55"/>
      <c r="BL7" s="55"/>
      <c r="BM7" s="66"/>
    </row>
    <row r="8" spans="1:65">
      <c r="A8" s="12" t="str">
        <f>Roster!A8</f>
        <v/>
      </c>
      <c r="B8" s="28">
        <f>Roster!C8</f>
        <v>0</v>
      </c>
      <c r="C8" s="55"/>
      <c r="D8" s="56"/>
      <c r="E8" s="57"/>
      <c r="F8" s="57"/>
      <c r="G8" s="57"/>
      <c r="H8" s="57"/>
      <c r="I8" s="57"/>
      <c r="J8" s="57"/>
      <c r="K8" s="51"/>
      <c r="L8" s="58"/>
      <c r="M8" s="56"/>
      <c r="N8" s="57"/>
      <c r="O8" s="57"/>
      <c r="P8" s="57"/>
      <c r="Q8" s="57"/>
      <c r="R8" s="57"/>
      <c r="S8" s="57"/>
      <c r="T8" s="51"/>
      <c r="U8" s="65"/>
      <c r="V8" s="56"/>
      <c r="W8" s="57"/>
      <c r="X8" s="57"/>
      <c r="Y8" s="57"/>
      <c r="Z8" s="57"/>
      <c r="AA8" s="57"/>
      <c r="AB8" s="57"/>
      <c r="AC8" s="51"/>
      <c r="AD8" s="65"/>
      <c r="AE8" s="56"/>
      <c r="AF8" s="57"/>
      <c r="AG8" s="57"/>
      <c r="AH8" s="57"/>
      <c r="AI8" s="57"/>
      <c r="AJ8" s="57"/>
      <c r="AK8" s="57"/>
      <c r="AL8" s="51"/>
      <c r="AM8" s="65"/>
      <c r="AN8" s="56"/>
      <c r="AO8" s="57"/>
      <c r="AP8" s="57"/>
      <c r="AQ8" s="57"/>
      <c r="AR8" s="57"/>
      <c r="AS8" s="57"/>
      <c r="AT8" s="57"/>
      <c r="AU8" s="51"/>
      <c r="AV8" s="65"/>
      <c r="AW8" s="56"/>
      <c r="AX8" s="55"/>
      <c r="AY8" s="55"/>
      <c r="AZ8" s="55"/>
      <c r="BA8" s="55"/>
      <c r="BB8" s="55"/>
      <c r="BC8" s="55"/>
      <c r="BD8" s="51"/>
      <c r="BE8" s="65"/>
      <c r="BF8" s="55"/>
      <c r="BG8" s="55"/>
      <c r="BH8" s="55"/>
      <c r="BI8" s="55"/>
      <c r="BJ8" s="55"/>
      <c r="BK8" s="55"/>
      <c r="BL8" s="55"/>
      <c r="BM8" s="66"/>
    </row>
    <row r="9" spans="1:65">
      <c r="A9" s="12" t="str">
        <f>Roster!A9</f>
        <v/>
      </c>
      <c r="B9" s="28">
        <f>Roster!C9</f>
        <v>0</v>
      </c>
      <c r="C9" s="55"/>
      <c r="D9" s="56"/>
      <c r="E9" s="57"/>
      <c r="F9" s="57"/>
      <c r="G9" s="57"/>
      <c r="H9" s="57"/>
      <c r="I9" s="57"/>
      <c r="J9" s="57"/>
      <c r="K9" s="51"/>
      <c r="L9" s="58"/>
      <c r="M9" s="56"/>
      <c r="N9" s="57"/>
      <c r="O9" s="57"/>
      <c r="P9" s="57"/>
      <c r="Q9" s="57"/>
      <c r="R9" s="57"/>
      <c r="S9" s="57"/>
      <c r="T9" s="51"/>
      <c r="U9" s="65"/>
      <c r="V9" s="56"/>
      <c r="W9" s="57"/>
      <c r="X9" s="57"/>
      <c r="Y9" s="57"/>
      <c r="Z9" s="57"/>
      <c r="AA9" s="57"/>
      <c r="AB9" s="57"/>
      <c r="AC9" s="51"/>
      <c r="AD9" s="65"/>
      <c r="AE9" s="56"/>
      <c r="AF9" s="57"/>
      <c r="AG9" s="57"/>
      <c r="AH9" s="57"/>
      <c r="AI9" s="57"/>
      <c r="AJ9" s="57"/>
      <c r="AK9" s="57"/>
      <c r="AL9" s="51"/>
      <c r="AM9" s="65"/>
      <c r="AN9" s="56"/>
      <c r="AO9" s="57"/>
      <c r="AP9" s="57"/>
      <c r="AQ9" s="57"/>
      <c r="AR9" s="57"/>
      <c r="AS9" s="57"/>
      <c r="AT9" s="57"/>
      <c r="AU9" s="51"/>
      <c r="AV9" s="65"/>
      <c r="AW9" s="56"/>
      <c r="AX9" s="55"/>
      <c r="AY9" s="55"/>
      <c r="AZ9" s="55"/>
      <c r="BA9" s="55"/>
      <c r="BB9" s="55"/>
      <c r="BC9" s="55"/>
      <c r="BD9" s="51"/>
      <c r="BE9" s="65"/>
      <c r="BF9" s="55"/>
      <c r="BG9" s="55"/>
      <c r="BH9" s="55"/>
      <c r="BI9" s="55"/>
      <c r="BJ9" s="55"/>
      <c r="BK9" s="55"/>
      <c r="BL9" s="55"/>
      <c r="BM9" s="66"/>
    </row>
    <row r="10" spans="1:65">
      <c r="A10" s="12" t="str">
        <f>Roster!A10</f>
        <v/>
      </c>
      <c r="B10" s="28">
        <f>Roster!C10</f>
        <v>0</v>
      </c>
      <c r="C10" s="55"/>
      <c r="D10" s="56"/>
      <c r="E10" s="57"/>
      <c r="F10" s="57"/>
      <c r="G10" s="57"/>
      <c r="H10" s="57"/>
      <c r="I10" s="57"/>
      <c r="J10" s="57"/>
      <c r="K10" s="51"/>
      <c r="L10" s="58"/>
      <c r="M10" s="56"/>
      <c r="N10" s="57"/>
      <c r="O10" s="57"/>
      <c r="P10" s="57"/>
      <c r="Q10" s="57"/>
      <c r="R10" s="57"/>
      <c r="S10" s="57"/>
      <c r="T10" s="51"/>
      <c r="U10" s="65"/>
      <c r="V10" s="56"/>
      <c r="W10" s="57"/>
      <c r="X10" s="57"/>
      <c r="Y10" s="57"/>
      <c r="Z10" s="57"/>
      <c r="AA10" s="57"/>
      <c r="AB10" s="57"/>
      <c r="AC10" s="51"/>
      <c r="AD10" s="65"/>
      <c r="AE10" s="56"/>
      <c r="AF10" s="57"/>
      <c r="AG10" s="57"/>
      <c r="AH10" s="57"/>
      <c r="AI10" s="57"/>
      <c r="AJ10" s="57"/>
      <c r="AK10" s="57"/>
      <c r="AL10" s="51"/>
      <c r="AM10" s="65"/>
      <c r="AN10" s="56"/>
      <c r="AO10" s="57"/>
      <c r="AP10" s="57"/>
      <c r="AQ10" s="57"/>
      <c r="AR10" s="57"/>
      <c r="AS10" s="57"/>
      <c r="AT10" s="57"/>
      <c r="AU10" s="51"/>
      <c r="AV10" s="65"/>
      <c r="AW10" s="56"/>
      <c r="AX10" s="55"/>
      <c r="AY10" s="55"/>
      <c r="AZ10" s="55"/>
      <c r="BA10" s="55"/>
      <c r="BB10" s="55"/>
      <c r="BC10" s="55"/>
      <c r="BD10" s="51"/>
      <c r="BE10" s="65"/>
      <c r="BF10" s="55"/>
      <c r="BG10" s="55"/>
      <c r="BH10" s="55"/>
      <c r="BI10" s="55"/>
      <c r="BJ10" s="55"/>
      <c r="BK10" s="55"/>
      <c r="BL10" s="55"/>
      <c r="BM10" s="66"/>
    </row>
    <row r="11" spans="1:65" ht="14.45" customHeight="1">
      <c r="A11" s="12" t="str">
        <f>Roster!A11</f>
        <v/>
      </c>
      <c r="B11" s="28">
        <f>Roster!C11</f>
        <v>0</v>
      </c>
      <c r="C11" s="55"/>
      <c r="D11" s="56"/>
      <c r="E11" s="57"/>
      <c r="F11" s="57"/>
      <c r="G11" s="57"/>
      <c r="H11" s="57"/>
      <c r="I11" s="57"/>
      <c r="J11" s="57"/>
      <c r="K11" s="51"/>
      <c r="L11" s="58"/>
      <c r="M11" s="56"/>
      <c r="N11" s="57"/>
      <c r="O11" s="57"/>
      <c r="P11" s="57"/>
      <c r="Q11" s="57"/>
      <c r="R11" s="57"/>
      <c r="S11" s="57"/>
      <c r="T11" s="51"/>
      <c r="U11" s="65"/>
      <c r="V11" s="56"/>
      <c r="W11" s="57"/>
      <c r="X11" s="57"/>
      <c r="Y11" s="57"/>
      <c r="Z11" s="57"/>
      <c r="AA11" s="57"/>
      <c r="AB11" s="57"/>
      <c r="AC11" s="51"/>
      <c r="AD11" s="65"/>
      <c r="AE11" s="56"/>
      <c r="AF11" s="57"/>
      <c r="AG11" s="57"/>
      <c r="AH11" s="57"/>
      <c r="AI11" s="57"/>
      <c r="AJ11" s="57"/>
      <c r="AK11" s="57"/>
      <c r="AL11" s="51"/>
      <c r="AM11" s="65"/>
      <c r="AN11" s="56"/>
      <c r="AO11" s="57"/>
      <c r="AP11" s="57"/>
      <c r="AQ11" s="57"/>
      <c r="AR11" s="57"/>
      <c r="AS11" s="57"/>
      <c r="AT11" s="57"/>
      <c r="AU11" s="51"/>
      <c r="AV11" s="65"/>
      <c r="AW11" s="56"/>
      <c r="AX11" s="55"/>
      <c r="AY11" s="55"/>
      <c r="AZ11" s="55"/>
      <c r="BA11" s="55"/>
      <c r="BB11" s="55"/>
      <c r="BC11" s="55"/>
      <c r="BD11" s="51"/>
      <c r="BE11" s="65"/>
      <c r="BF11" s="55"/>
      <c r="BG11" s="55"/>
      <c r="BH11" s="55"/>
      <c r="BI11" s="55"/>
      <c r="BJ11" s="55"/>
      <c r="BK11" s="55"/>
      <c r="BL11" s="55"/>
      <c r="BM11" s="66"/>
    </row>
    <row r="12" spans="1:65">
      <c r="A12" s="12" t="str">
        <f>Roster!A12</f>
        <v/>
      </c>
      <c r="B12" s="28">
        <f>Roster!C12</f>
        <v>0</v>
      </c>
      <c r="C12" s="55"/>
      <c r="D12" s="56"/>
      <c r="E12" s="57"/>
      <c r="F12" s="57"/>
      <c r="G12" s="57"/>
      <c r="H12" s="57"/>
      <c r="I12" s="57"/>
      <c r="J12" s="57"/>
      <c r="K12" s="51"/>
      <c r="L12" s="58"/>
      <c r="M12" s="56"/>
      <c r="N12" s="57"/>
      <c r="O12" s="57"/>
      <c r="P12" s="57"/>
      <c r="Q12" s="57"/>
      <c r="R12" s="57"/>
      <c r="S12" s="57"/>
      <c r="T12" s="51"/>
      <c r="U12" s="65"/>
      <c r="V12" s="56"/>
      <c r="W12" s="57"/>
      <c r="X12" s="57"/>
      <c r="Y12" s="57"/>
      <c r="Z12" s="57"/>
      <c r="AA12" s="57"/>
      <c r="AB12" s="57"/>
      <c r="AC12" s="51"/>
      <c r="AD12" s="65"/>
      <c r="AE12" s="56"/>
      <c r="AF12" s="57"/>
      <c r="AG12" s="57"/>
      <c r="AH12" s="57"/>
      <c r="AI12" s="57"/>
      <c r="AJ12" s="57"/>
      <c r="AK12" s="57"/>
      <c r="AL12" s="51"/>
      <c r="AM12" s="65"/>
      <c r="AN12" s="56"/>
      <c r="AO12" s="57"/>
      <c r="AP12" s="57"/>
      <c r="AQ12" s="57"/>
      <c r="AR12" s="57"/>
      <c r="AS12" s="57"/>
      <c r="AT12" s="57"/>
      <c r="AU12" s="51"/>
      <c r="AV12" s="65"/>
      <c r="AW12" s="56"/>
      <c r="AX12" s="55"/>
      <c r="AY12" s="55"/>
      <c r="AZ12" s="55"/>
      <c r="BA12" s="55"/>
      <c r="BB12" s="55"/>
      <c r="BC12" s="55"/>
      <c r="BD12" s="51"/>
      <c r="BE12" s="65"/>
      <c r="BF12" s="55"/>
      <c r="BG12" s="55"/>
      <c r="BH12" s="55"/>
      <c r="BI12" s="55"/>
      <c r="BJ12" s="55"/>
      <c r="BK12" s="55"/>
      <c r="BL12" s="55"/>
      <c r="BM12" s="66"/>
    </row>
    <row r="13" spans="1:65">
      <c r="A13" s="12" t="str">
        <f>Roster!A13</f>
        <v/>
      </c>
      <c r="B13" s="28">
        <f>Roster!C13</f>
        <v>0</v>
      </c>
      <c r="C13" s="55"/>
      <c r="D13" s="56"/>
      <c r="E13" s="57"/>
      <c r="F13" s="57"/>
      <c r="G13" s="57"/>
      <c r="H13" s="57"/>
      <c r="I13" s="57"/>
      <c r="J13" s="57"/>
      <c r="K13" s="51"/>
      <c r="L13" s="58"/>
      <c r="M13" s="56"/>
      <c r="N13" s="57"/>
      <c r="O13" s="57"/>
      <c r="P13" s="57"/>
      <c r="Q13" s="57"/>
      <c r="R13" s="57"/>
      <c r="S13" s="57"/>
      <c r="T13" s="51"/>
      <c r="U13" s="65"/>
      <c r="V13" s="56"/>
      <c r="W13" s="57"/>
      <c r="X13" s="57"/>
      <c r="Y13" s="57"/>
      <c r="Z13" s="57"/>
      <c r="AA13" s="57"/>
      <c r="AB13" s="57"/>
      <c r="AC13" s="51"/>
      <c r="AD13" s="65"/>
      <c r="AE13" s="56"/>
      <c r="AF13" s="57"/>
      <c r="AG13" s="57"/>
      <c r="AH13" s="57"/>
      <c r="AI13" s="57"/>
      <c r="AJ13" s="57"/>
      <c r="AK13" s="57"/>
      <c r="AL13" s="51"/>
      <c r="AM13" s="65"/>
      <c r="AN13" s="56"/>
      <c r="AO13" s="57"/>
      <c r="AP13" s="57"/>
      <c r="AQ13" s="57"/>
      <c r="AR13" s="57"/>
      <c r="AS13" s="57"/>
      <c r="AT13" s="57"/>
      <c r="AU13" s="51"/>
      <c r="AV13" s="65"/>
      <c r="AW13" s="56"/>
      <c r="AX13" s="55"/>
      <c r="AY13" s="55"/>
      <c r="AZ13" s="55"/>
      <c r="BA13" s="55"/>
      <c r="BB13" s="55"/>
      <c r="BC13" s="55"/>
      <c r="BD13" s="51"/>
      <c r="BE13" s="65"/>
      <c r="BF13" s="55"/>
      <c r="BG13" s="55"/>
      <c r="BH13" s="55"/>
      <c r="BI13" s="55"/>
      <c r="BJ13" s="55"/>
      <c r="BK13" s="55"/>
      <c r="BL13" s="55"/>
      <c r="BM13" s="66"/>
    </row>
    <row r="14" spans="1:65">
      <c r="A14" s="12" t="str">
        <f>Roster!A14</f>
        <v/>
      </c>
      <c r="B14" s="28">
        <f>Roster!C14</f>
        <v>0</v>
      </c>
      <c r="C14" s="55"/>
      <c r="D14" s="56"/>
      <c r="E14" s="57"/>
      <c r="F14" s="57"/>
      <c r="G14" s="57"/>
      <c r="H14" s="57"/>
      <c r="I14" s="57"/>
      <c r="J14" s="57"/>
      <c r="K14" s="51"/>
      <c r="L14" s="58"/>
      <c r="M14" s="56"/>
      <c r="N14" s="57"/>
      <c r="O14" s="57"/>
      <c r="P14" s="57"/>
      <c r="Q14" s="57"/>
      <c r="R14" s="57"/>
      <c r="S14" s="57"/>
      <c r="T14" s="51"/>
      <c r="U14" s="65"/>
      <c r="V14" s="56"/>
      <c r="W14" s="57"/>
      <c r="X14" s="57"/>
      <c r="Y14" s="57"/>
      <c r="Z14" s="57"/>
      <c r="AA14" s="57"/>
      <c r="AB14" s="57"/>
      <c r="AC14" s="51"/>
      <c r="AD14" s="65"/>
      <c r="AE14" s="56"/>
      <c r="AF14" s="57"/>
      <c r="AG14" s="57"/>
      <c r="AH14" s="57"/>
      <c r="AI14" s="57"/>
      <c r="AJ14" s="57"/>
      <c r="AK14" s="57"/>
      <c r="AL14" s="51"/>
      <c r="AM14" s="65"/>
      <c r="AN14" s="56"/>
      <c r="AO14" s="57"/>
      <c r="AP14" s="57"/>
      <c r="AQ14" s="57"/>
      <c r="AR14" s="57"/>
      <c r="AS14" s="57"/>
      <c r="AT14" s="57"/>
      <c r="AU14" s="51"/>
      <c r="AV14" s="65"/>
      <c r="AW14" s="56"/>
      <c r="AX14" s="55"/>
      <c r="AY14" s="55"/>
      <c r="AZ14" s="55"/>
      <c r="BA14" s="55"/>
      <c r="BB14" s="55"/>
      <c r="BC14" s="55"/>
      <c r="BD14" s="51"/>
      <c r="BE14" s="65"/>
      <c r="BF14" s="55"/>
      <c r="BG14" s="55"/>
      <c r="BH14" s="55"/>
      <c r="BI14" s="55"/>
      <c r="BJ14" s="55"/>
      <c r="BK14" s="55"/>
      <c r="BL14" s="55"/>
      <c r="BM14" s="66"/>
    </row>
    <row r="15" spans="1:65">
      <c r="A15" s="12" t="str">
        <f>Roster!A15</f>
        <v/>
      </c>
      <c r="B15" s="28">
        <f>Roster!C15</f>
        <v>0</v>
      </c>
      <c r="C15" s="55"/>
      <c r="D15" s="56"/>
      <c r="E15" s="57"/>
      <c r="F15" s="57"/>
      <c r="G15" s="57"/>
      <c r="H15" s="57"/>
      <c r="I15" s="57"/>
      <c r="J15" s="57"/>
      <c r="K15" s="51"/>
      <c r="L15" s="58"/>
      <c r="M15" s="56"/>
      <c r="N15" s="57"/>
      <c r="O15" s="57"/>
      <c r="P15" s="57"/>
      <c r="Q15" s="57"/>
      <c r="R15" s="57"/>
      <c r="S15" s="57"/>
      <c r="T15" s="51"/>
      <c r="U15" s="65"/>
      <c r="V15" s="56"/>
      <c r="W15" s="57"/>
      <c r="X15" s="57"/>
      <c r="Y15" s="57"/>
      <c r="Z15" s="57"/>
      <c r="AA15" s="57"/>
      <c r="AB15" s="57"/>
      <c r="AC15" s="51"/>
      <c r="AD15" s="65"/>
      <c r="AE15" s="56"/>
      <c r="AF15" s="57"/>
      <c r="AG15" s="57"/>
      <c r="AH15" s="57"/>
      <c r="AI15" s="57"/>
      <c r="AJ15" s="57"/>
      <c r="AK15" s="57"/>
      <c r="AL15" s="51"/>
      <c r="AM15" s="65"/>
      <c r="AN15" s="56"/>
      <c r="AO15" s="57"/>
      <c r="AP15" s="57"/>
      <c r="AQ15" s="57"/>
      <c r="AR15" s="57"/>
      <c r="AS15" s="57"/>
      <c r="AT15" s="57"/>
      <c r="AU15" s="51"/>
      <c r="AV15" s="65"/>
      <c r="AW15" s="56"/>
      <c r="AX15" s="55"/>
      <c r="AY15" s="55"/>
      <c r="AZ15" s="55"/>
      <c r="BA15" s="55"/>
      <c r="BB15" s="55"/>
      <c r="BC15" s="55"/>
      <c r="BD15" s="51"/>
      <c r="BE15" s="65"/>
      <c r="BF15" s="55"/>
      <c r="BG15" s="55"/>
      <c r="BH15" s="55"/>
      <c r="BI15" s="55"/>
      <c r="BJ15" s="55"/>
      <c r="BK15" s="55"/>
      <c r="BL15" s="55"/>
      <c r="BM15" s="66"/>
    </row>
    <row r="16" spans="1:65">
      <c r="A16" s="12" t="str">
        <f>Roster!A16</f>
        <v/>
      </c>
      <c r="B16" s="28">
        <f>Roster!C16</f>
        <v>0</v>
      </c>
      <c r="C16" s="55"/>
      <c r="D16" s="56"/>
      <c r="E16" s="57"/>
      <c r="F16" s="57"/>
      <c r="G16" s="57"/>
      <c r="H16" s="57"/>
      <c r="I16" s="57"/>
      <c r="J16" s="57"/>
      <c r="K16" s="51"/>
      <c r="L16" s="58"/>
      <c r="M16" s="56"/>
      <c r="N16" s="57"/>
      <c r="O16" s="57"/>
      <c r="P16" s="57"/>
      <c r="Q16" s="57"/>
      <c r="R16" s="57"/>
      <c r="S16" s="57"/>
      <c r="T16" s="51"/>
      <c r="U16" s="65"/>
      <c r="V16" s="56"/>
      <c r="W16" s="57"/>
      <c r="X16" s="57"/>
      <c r="Y16" s="57"/>
      <c r="Z16" s="57"/>
      <c r="AA16" s="57"/>
      <c r="AB16" s="57"/>
      <c r="AC16" s="51"/>
      <c r="AD16" s="65"/>
      <c r="AE16" s="56"/>
      <c r="AF16" s="57"/>
      <c r="AG16" s="57"/>
      <c r="AH16" s="57"/>
      <c r="AI16" s="57"/>
      <c r="AJ16" s="57"/>
      <c r="AK16" s="57"/>
      <c r="AL16" s="51"/>
      <c r="AM16" s="65"/>
      <c r="AN16" s="56"/>
      <c r="AO16" s="57"/>
      <c r="AP16" s="57"/>
      <c r="AQ16" s="57"/>
      <c r="AR16" s="57"/>
      <c r="AS16" s="57"/>
      <c r="AT16" s="57"/>
      <c r="AU16" s="51"/>
      <c r="AV16" s="65"/>
      <c r="AW16" s="56"/>
      <c r="AX16" s="55"/>
      <c r="AY16" s="55"/>
      <c r="AZ16" s="55"/>
      <c r="BA16" s="55"/>
      <c r="BB16" s="55"/>
      <c r="BC16" s="55"/>
      <c r="BD16" s="51"/>
      <c r="BE16" s="65"/>
      <c r="BF16" s="55"/>
      <c r="BG16" s="55"/>
      <c r="BH16" s="55"/>
      <c r="BI16" s="55"/>
      <c r="BJ16" s="55"/>
      <c r="BK16" s="55"/>
      <c r="BL16" s="55"/>
      <c r="BM16" s="66"/>
    </row>
    <row r="17" spans="1:65">
      <c r="A17" s="12" t="str">
        <f>Roster!A17</f>
        <v/>
      </c>
      <c r="B17" s="28">
        <f>Roster!C17</f>
        <v>0</v>
      </c>
      <c r="C17" s="55"/>
      <c r="D17" s="56"/>
      <c r="E17" s="57"/>
      <c r="F17" s="57"/>
      <c r="G17" s="57"/>
      <c r="H17" s="57"/>
      <c r="I17" s="57"/>
      <c r="J17" s="57"/>
      <c r="K17" s="51"/>
      <c r="L17" s="58"/>
      <c r="M17" s="56"/>
      <c r="N17" s="57"/>
      <c r="O17" s="57"/>
      <c r="P17" s="57"/>
      <c r="Q17" s="57"/>
      <c r="R17" s="57"/>
      <c r="S17" s="57"/>
      <c r="T17" s="51"/>
      <c r="U17" s="65"/>
      <c r="V17" s="56"/>
      <c r="W17" s="57"/>
      <c r="X17" s="57"/>
      <c r="Y17" s="57"/>
      <c r="Z17" s="57"/>
      <c r="AA17" s="57"/>
      <c r="AB17" s="57"/>
      <c r="AC17" s="51"/>
      <c r="AD17" s="65"/>
      <c r="AE17" s="56"/>
      <c r="AF17" s="57"/>
      <c r="AG17" s="57"/>
      <c r="AH17" s="57"/>
      <c r="AI17" s="57"/>
      <c r="AJ17" s="57"/>
      <c r="AK17" s="57"/>
      <c r="AL17" s="51"/>
      <c r="AM17" s="65"/>
      <c r="AN17" s="56"/>
      <c r="AO17" s="57"/>
      <c r="AP17" s="57"/>
      <c r="AQ17" s="57"/>
      <c r="AR17" s="57"/>
      <c r="AS17" s="57"/>
      <c r="AT17" s="57"/>
      <c r="AU17" s="51"/>
      <c r="AV17" s="65"/>
      <c r="AW17" s="56"/>
      <c r="AX17" s="55"/>
      <c r="AY17" s="55"/>
      <c r="AZ17" s="55"/>
      <c r="BA17" s="55"/>
      <c r="BB17" s="55"/>
      <c r="BC17" s="55"/>
      <c r="BD17" s="51"/>
      <c r="BE17" s="65"/>
      <c r="BF17" s="55"/>
      <c r="BG17" s="55"/>
      <c r="BH17" s="55"/>
      <c r="BI17" s="55"/>
      <c r="BJ17" s="55"/>
      <c r="BK17" s="55"/>
      <c r="BL17" s="55"/>
      <c r="BM17" s="66"/>
    </row>
    <row r="18" spans="1:65">
      <c r="A18" s="12" t="str">
        <f>Roster!A18</f>
        <v/>
      </c>
      <c r="B18" s="28">
        <f>Roster!C18</f>
        <v>0</v>
      </c>
      <c r="C18" s="55"/>
      <c r="D18" s="56"/>
      <c r="E18" s="57"/>
      <c r="F18" s="57"/>
      <c r="G18" s="57"/>
      <c r="H18" s="57"/>
      <c r="I18" s="57"/>
      <c r="J18" s="57"/>
      <c r="K18" s="51"/>
      <c r="L18" s="58"/>
      <c r="M18" s="56"/>
      <c r="N18" s="57"/>
      <c r="O18" s="57"/>
      <c r="P18" s="57"/>
      <c r="Q18" s="57"/>
      <c r="R18" s="57"/>
      <c r="S18" s="57"/>
      <c r="T18" s="51"/>
      <c r="U18" s="65"/>
      <c r="V18" s="56"/>
      <c r="W18" s="57"/>
      <c r="X18" s="57"/>
      <c r="Y18" s="57"/>
      <c r="Z18" s="57"/>
      <c r="AA18" s="57"/>
      <c r="AB18" s="57"/>
      <c r="AC18" s="51"/>
      <c r="AD18" s="65"/>
      <c r="AE18" s="56"/>
      <c r="AF18" s="57"/>
      <c r="AG18" s="57"/>
      <c r="AH18" s="57"/>
      <c r="AI18" s="57"/>
      <c r="AJ18" s="57"/>
      <c r="AK18" s="57"/>
      <c r="AL18" s="51"/>
      <c r="AM18" s="65"/>
      <c r="AN18" s="56"/>
      <c r="AO18" s="57"/>
      <c r="AP18" s="57"/>
      <c r="AQ18" s="57"/>
      <c r="AR18" s="57"/>
      <c r="AS18" s="57"/>
      <c r="AT18" s="57"/>
      <c r="AU18" s="51"/>
      <c r="AV18" s="65"/>
      <c r="AW18" s="56"/>
      <c r="AX18" s="55"/>
      <c r="AY18" s="55"/>
      <c r="AZ18" s="55"/>
      <c r="BA18" s="55"/>
      <c r="BB18" s="55"/>
      <c r="BC18" s="55"/>
      <c r="BD18" s="51"/>
      <c r="BE18" s="65"/>
      <c r="BF18" s="55"/>
      <c r="BG18" s="55"/>
      <c r="BH18" s="55"/>
      <c r="BI18" s="55"/>
      <c r="BJ18" s="55"/>
      <c r="BK18" s="55"/>
      <c r="BL18" s="55"/>
      <c r="BM18" s="66"/>
    </row>
    <row r="19" spans="1:65">
      <c r="A19" s="12" t="str">
        <f>Roster!A19</f>
        <v/>
      </c>
      <c r="B19" s="28">
        <f>Roster!C19</f>
        <v>0</v>
      </c>
      <c r="C19" s="55"/>
      <c r="D19" s="56"/>
      <c r="E19" s="57"/>
      <c r="F19" s="57"/>
      <c r="G19" s="57"/>
      <c r="H19" s="57"/>
      <c r="I19" s="57"/>
      <c r="J19" s="57"/>
      <c r="K19" s="51"/>
      <c r="L19" s="58"/>
      <c r="M19" s="56"/>
      <c r="N19" s="57"/>
      <c r="O19" s="57"/>
      <c r="P19" s="57"/>
      <c r="Q19" s="57"/>
      <c r="R19" s="57"/>
      <c r="S19" s="57"/>
      <c r="T19" s="51"/>
      <c r="U19" s="65"/>
      <c r="V19" s="56"/>
      <c r="W19" s="57"/>
      <c r="X19" s="57"/>
      <c r="Y19" s="57"/>
      <c r="Z19" s="57"/>
      <c r="AA19" s="57"/>
      <c r="AB19" s="57"/>
      <c r="AC19" s="51"/>
      <c r="AD19" s="65"/>
      <c r="AE19" s="56"/>
      <c r="AF19" s="57"/>
      <c r="AG19" s="57"/>
      <c r="AH19" s="57"/>
      <c r="AI19" s="57"/>
      <c r="AJ19" s="57"/>
      <c r="AK19" s="57"/>
      <c r="AL19" s="51"/>
      <c r="AM19" s="65"/>
      <c r="AN19" s="56"/>
      <c r="AO19" s="57"/>
      <c r="AP19" s="57"/>
      <c r="AQ19" s="57"/>
      <c r="AR19" s="57"/>
      <c r="AS19" s="57"/>
      <c r="AT19" s="57"/>
      <c r="AU19" s="51"/>
      <c r="AV19" s="65"/>
      <c r="AW19" s="56"/>
      <c r="AX19" s="55"/>
      <c r="AY19" s="55"/>
      <c r="AZ19" s="55"/>
      <c r="BA19" s="55"/>
      <c r="BB19" s="55"/>
      <c r="BC19" s="55"/>
      <c r="BD19" s="51"/>
      <c r="BE19" s="65"/>
      <c r="BF19" s="55"/>
      <c r="BG19" s="55"/>
      <c r="BH19" s="55"/>
      <c r="BI19" s="55"/>
      <c r="BJ19" s="55"/>
      <c r="BK19" s="55"/>
      <c r="BL19" s="55"/>
      <c r="BM19" s="66"/>
    </row>
    <row r="20" spans="1:65">
      <c r="A20" s="12" t="str">
        <f>Roster!A20</f>
        <v/>
      </c>
      <c r="B20" s="28">
        <f>Roster!C20</f>
        <v>0</v>
      </c>
      <c r="C20" s="55"/>
      <c r="D20" s="56"/>
      <c r="E20" s="57"/>
      <c r="F20" s="57"/>
      <c r="G20" s="57"/>
      <c r="H20" s="57"/>
      <c r="I20" s="57"/>
      <c r="J20" s="57"/>
      <c r="K20" s="51"/>
      <c r="L20" s="58"/>
      <c r="M20" s="56"/>
      <c r="N20" s="57"/>
      <c r="O20" s="57"/>
      <c r="P20" s="57"/>
      <c r="Q20" s="57"/>
      <c r="R20" s="57"/>
      <c r="S20" s="57"/>
      <c r="T20" s="51"/>
      <c r="U20" s="65"/>
      <c r="V20" s="56"/>
      <c r="W20" s="57"/>
      <c r="X20" s="57"/>
      <c r="Y20" s="57"/>
      <c r="Z20" s="57"/>
      <c r="AA20" s="57"/>
      <c r="AB20" s="57"/>
      <c r="AC20" s="51"/>
      <c r="AD20" s="65"/>
      <c r="AE20" s="56"/>
      <c r="AF20" s="57"/>
      <c r="AG20" s="57"/>
      <c r="AH20" s="57"/>
      <c r="AI20" s="57"/>
      <c r="AJ20" s="57"/>
      <c r="AK20" s="57"/>
      <c r="AL20" s="51"/>
      <c r="AM20" s="65"/>
      <c r="AN20" s="56"/>
      <c r="AO20" s="57"/>
      <c r="AP20" s="57"/>
      <c r="AQ20" s="57"/>
      <c r="AR20" s="57"/>
      <c r="AS20" s="57"/>
      <c r="AT20" s="57"/>
      <c r="AU20" s="51"/>
      <c r="AV20" s="65"/>
      <c r="AW20" s="56"/>
      <c r="AX20" s="55"/>
      <c r="AY20" s="55"/>
      <c r="AZ20" s="55"/>
      <c r="BA20" s="55"/>
      <c r="BB20" s="55"/>
      <c r="BC20" s="55"/>
      <c r="BD20" s="51"/>
      <c r="BE20" s="65"/>
      <c r="BF20" s="55"/>
      <c r="BG20" s="55"/>
      <c r="BH20" s="55"/>
      <c r="BI20" s="55"/>
      <c r="BJ20" s="55"/>
      <c r="BK20" s="55"/>
      <c r="BL20" s="55"/>
      <c r="BM20" s="66"/>
    </row>
    <row r="21" spans="1:65">
      <c r="A21" s="12" t="str">
        <f>Roster!A21</f>
        <v/>
      </c>
      <c r="B21" s="28">
        <f>Roster!C21</f>
        <v>0</v>
      </c>
      <c r="C21" s="55"/>
      <c r="D21" s="56"/>
      <c r="E21" s="57"/>
      <c r="F21" s="57"/>
      <c r="G21" s="57"/>
      <c r="H21" s="57"/>
      <c r="I21" s="57"/>
      <c r="J21" s="57"/>
      <c r="K21" s="51"/>
      <c r="L21" s="58"/>
      <c r="M21" s="56"/>
      <c r="N21" s="57"/>
      <c r="O21" s="57"/>
      <c r="P21" s="57"/>
      <c r="Q21" s="57"/>
      <c r="R21" s="57"/>
      <c r="S21" s="57"/>
      <c r="T21" s="51"/>
      <c r="U21" s="65"/>
      <c r="V21" s="56"/>
      <c r="W21" s="57"/>
      <c r="X21" s="57"/>
      <c r="Y21" s="57"/>
      <c r="Z21" s="57"/>
      <c r="AA21" s="57"/>
      <c r="AB21" s="57"/>
      <c r="AC21" s="51"/>
      <c r="AD21" s="65"/>
      <c r="AE21" s="56"/>
      <c r="AF21" s="57"/>
      <c r="AG21" s="57"/>
      <c r="AH21" s="57"/>
      <c r="AI21" s="57"/>
      <c r="AJ21" s="57"/>
      <c r="AK21" s="57"/>
      <c r="AL21" s="51"/>
      <c r="AM21" s="65"/>
      <c r="AN21" s="56"/>
      <c r="AO21" s="57"/>
      <c r="AP21" s="57"/>
      <c r="AQ21" s="57"/>
      <c r="AR21" s="57"/>
      <c r="AS21" s="57"/>
      <c r="AT21" s="57"/>
      <c r="AU21" s="51"/>
      <c r="AV21" s="65"/>
      <c r="AW21" s="56"/>
      <c r="AX21" s="55"/>
      <c r="AY21" s="55"/>
      <c r="AZ21" s="55"/>
      <c r="BA21" s="55"/>
      <c r="BB21" s="55"/>
      <c r="BC21" s="55"/>
      <c r="BD21" s="51"/>
      <c r="BE21" s="65"/>
      <c r="BF21" s="55"/>
      <c r="BG21" s="55"/>
      <c r="BH21" s="55"/>
      <c r="BI21" s="55"/>
      <c r="BJ21" s="55"/>
      <c r="BK21" s="55"/>
      <c r="BL21" s="55"/>
      <c r="BM21" s="66"/>
    </row>
    <row r="22" spans="1:65">
      <c r="A22" s="12" t="str">
        <f>Roster!A22</f>
        <v/>
      </c>
      <c r="B22" s="28">
        <f>Roster!C22</f>
        <v>0</v>
      </c>
      <c r="C22" s="55"/>
      <c r="D22" s="56"/>
      <c r="E22" s="57"/>
      <c r="F22" s="57"/>
      <c r="G22" s="57"/>
      <c r="H22" s="57"/>
      <c r="I22" s="57"/>
      <c r="J22" s="57"/>
      <c r="K22" s="51"/>
      <c r="L22" s="58"/>
      <c r="M22" s="56"/>
      <c r="N22" s="57"/>
      <c r="O22" s="57"/>
      <c r="P22" s="57"/>
      <c r="Q22" s="57"/>
      <c r="R22" s="57"/>
      <c r="S22" s="57"/>
      <c r="T22" s="51"/>
      <c r="U22" s="65"/>
      <c r="V22" s="56"/>
      <c r="W22" s="57"/>
      <c r="X22" s="57"/>
      <c r="Y22" s="57"/>
      <c r="Z22" s="57"/>
      <c r="AA22" s="57"/>
      <c r="AB22" s="57"/>
      <c r="AC22" s="51"/>
      <c r="AD22" s="65"/>
      <c r="AE22" s="56"/>
      <c r="AF22" s="57"/>
      <c r="AG22" s="57"/>
      <c r="AH22" s="57"/>
      <c r="AI22" s="57"/>
      <c r="AJ22" s="57"/>
      <c r="AK22" s="57"/>
      <c r="AL22" s="51"/>
      <c r="AM22" s="65"/>
      <c r="AN22" s="56"/>
      <c r="AO22" s="57"/>
      <c r="AP22" s="57"/>
      <c r="AQ22" s="57"/>
      <c r="AR22" s="57"/>
      <c r="AS22" s="57"/>
      <c r="AT22" s="57"/>
      <c r="AU22" s="51"/>
      <c r="AV22" s="65"/>
      <c r="AW22" s="56"/>
      <c r="AX22" s="55"/>
      <c r="AY22" s="55"/>
      <c r="AZ22" s="55"/>
      <c r="BA22" s="55"/>
      <c r="BB22" s="55"/>
      <c r="BC22" s="55"/>
      <c r="BD22" s="51"/>
      <c r="BE22" s="65"/>
      <c r="BF22" s="55"/>
      <c r="BG22" s="55"/>
      <c r="BH22" s="55"/>
      <c r="BI22" s="55"/>
      <c r="BJ22" s="55"/>
      <c r="BK22" s="55"/>
      <c r="BL22" s="55"/>
      <c r="BM22" s="66"/>
    </row>
    <row r="23" spans="1:65">
      <c r="A23" s="12" t="str">
        <f>Roster!A23</f>
        <v/>
      </c>
      <c r="B23" s="28">
        <f>Roster!C23</f>
        <v>0</v>
      </c>
      <c r="C23" s="55"/>
      <c r="D23" s="56"/>
      <c r="E23" s="57"/>
      <c r="F23" s="57"/>
      <c r="G23" s="57"/>
      <c r="H23" s="57"/>
      <c r="I23" s="57"/>
      <c r="J23" s="57"/>
      <c r="K23" s="51"/>
      <c r="L23" s="58"/>
      <c r="M23" s="56"/>
      <c r="N23" s="57"/>
      <c r="O23" s="57"/>
      <c r="P23" s="57"/>
      <c r="Q23" s="57"/>
      <c r="R23" s="57"/>
      <c r="S23" s="57"/>
      <c r="T23" s="51"/>
      <c r="U23" s="65"/>
      <c r="V23" s="56"/>
      <c r="W23" s="57"/>
      <c r="X23" s="57"/>
      <c r="Y23" s="57"/>
      <c r="Z23" s="57"/>
      <c r="AA23" s="57"/>
      <c r="AB23" s="57"/>
      <c r="AC23" s="51"/>
      <c r="AD23" s="65"/>
      <c r="AE23" s="56"/>
      <c r="AF23" s="57"/>
      <c r="AG23" s="57"/>
      <c r="AH23" s="57"/>
      <c r="AI23" s="57"/>
      <c r="AJ23" s="57"/>
      <c r="AK23" s="57"/>
      <c r="AL23" s="51"/>
      <c r="AM23" s="65"/>
      <c r="AN23" s="56"/>
      <c r="AO23" s="57"/>
      <c r="AP23" s="57"/>
      <c r="AQ23" s="57"/>
      <c r="AR23" s="57"/>
      <c r="AS23" s="57"/>
      <c r="AT23" s="57"/>
      <c r="AU23" s="51"/>
      <c r="AV23" s="65"/>
      <c r="AW23" s="56"/>
      <c r="AX23" s="55"/>
      <c r="AY23" s="55"/>
      <c r="AZ23" s="55"/>
      <c r="BA23" s="55"/>
      <c r="BB23" s="55"/>
      <c r="BC23" s="55"/>
      <c r="BD23" s="51"/>
      <c r="BE23" s="65"/>
      <c r="BF23" s="55"/>
      <c r="BG23" s="55"/>
      <c r="BH23" s="55"/>
      <c r="BI23" s="55"/>
      <c r="BJ23" s="55"/>
      <c r="BK23" s="55"/>
      <c r="BL23" s="55"/>
      <c r="BM23" s="66"/>
    </row>
    <row r="24" spans="1:65">
      <c r="A24" s="12" t="str">
        <f>Roster!A24</f>
        <v/>
      </c>
      <c r="B24" s="28">
        <f>Roster!C24</f>
        <v>0</v>
      </c>
      <c r="C24" s="55"/>
      <c r="D24" s="56"/>
      <c r="E24" s="57"/>
      <c r="F24" s="57"/>
      <c r="G24" s="57"/>
      <c r="H24" s="57"/>
      <c r="I24" s="57"/>
      <c r="J24" s="57"/>
      <c r="K24" s="51"/>
      <c r="L24" s="58"/>
      <c r="M24" s="56"/>
      <c r="N24" s="57"/>
      <c r="O24" s="57"/>
      <c r="P24" s="57"/>
      <c r="Q24" s="57"/>
      <c r="R24" s="57"/>
      <c r="S24" s="57"/>
      <c r="T24" s="51"/>
      <c r="U24" s="65"/>
      <c r="V24" s="56"/>
      <c r="W24" s="57"/>
      <c r="X24" s="57"/>
      <c r="Y24" s="57"/>
      <c r="Z24" s="57"/>
      <c r="AA24" s="57"/>
      <c r="AB24" s="57"/>
      <c r="AC24" s="51"/>
      <c r="AD24" s="65"/>
      <c r="AE24" s="56"/>
      <c r="AF24" s="57"/>
      <c r="AG24" s="57"/>
      <c r="AH24" s="57"/>
      <c r="AI24" s="57"/>
      <c r="AJ24" s="57"/>
      <c r="AK24" s="57"/>
      <c r="AL24" s="51"/>
      <c r="AM24" s="65"/>
      <c r="AN24" s="56"/>
      <c r="AO24" s="57"/>
      <c r="AP24" s="57"/>
      <c r="AQ24" s="57"/>
      <c r="AR24" s="57"/>
      <c r="AS24" s="57"/>
      <c r="AT24" s="57"/>
      <c r="AU24" s="51"/>
      <c r="AV24" s="65"/>
      <c r="AW24" s="56"/>
      <c r="AX24" s="55"/>
      <c r="AY24" s="55"/>
      <c r="AZ24" s="55"/>
      <c r="BA24" s="55"/>
      <c r="BB24" s="55"/>
      <c r="BC24" s="55"/>
      <c r="BD24" s="51"/>
      <c r="BE24" s="65"/>
      <c r="BF24" s="55"/>
      <c r="BG24" s="55"/>
      <c r="BH24" s="55"/>
      <c r="BI24" s="55"/>
      <c r="BJ24" s="55"/>
      <c r="BK24" s="55"/>
      <c r="BL24" s="55"/>
      <c r="BM24" s="66"/>
    </row>
    <row r="25" spans="1:65">
      <c r="A25" s="12" t="str">
        <f>Roster!A25</f>
        <v/>
      </c>
      <c r="B25" s="28">
        <f>Roster!C25</f>
        <v>0</v>
      </c>
      <c r="C25" s="55"/>
      <c r="D25" s="56"/>
      <c r="E25" s="57"/>
      <c r="F25" s="57"/>
      <c r="G25" s="57"/>
      <c r="H25" s="57"/>
      <c r="I25" s="57"/>
      <c r="J25" s="57"/>
      <c r="K25" s="51"/>
      <c r="L25" s="58"/>
      <c r="M25" s="56"/>
      <c r="N25" s="57"/>
      <c r="O25" s="57"/>
      <c r="P25" s="57"/>
      <c r="Q25" s="57"/>
      <c r="R25" s="57"/>
      <c r="S25" s="57"/>
      <c r="T25" s="51"/>
      <c r="U25" s="65"/>
      <c r="V25" s="56"/>
      <c r="W25" s="57"/>
      <c r="X25" s="57"/>
      <c r="Y25" s="57"/>
      <c r="Z25" s="57"/>
      <c r="AA25" s="57"/>
      <c r="AB25" s="57"/>
      <c r="AC25" s="51"/>
      <c r="AD25" s="65"/>
      <c r="AE25" s="56"/>
      <c r="AF25" s="57"/>
      <c r="AG25" s="57"/>
      <c r="AH25" s="57"/>
      <c r="AI25" s="57"/>
      <c r="AJ25" s="57"/>
      <c r="AK25" s="57"/>
      <c r="AL25" s="51"/>
      <c r="AM25" s="65"/>
      <c r="AN25" s="56"/>
      <c r="AO25" s="57"/>
      <c r="AP25" s="57"/>
      <c r="AQ25" s="57"/>
      <c r="AR25" s="57"/>
      <c r="AS25" s="57"/>
      <c r="AT25" s="57"/>
      <c r="AU25" s="51"/>
      <c r="AV25" s="65"/>
      <c r="AW25" s="56"/>
      <c r="AX25" s="55"/>
      <c r="AY25" s="55"/>
      <c r="AZ25" s="55"/>
      <c r="BA25" s="55"/>
      <c r="BB25" s="55"/>
      <c r="BC25" s="55"/>
      <c r="BD25" s="51"/>
      <c r="BE25" s="65"/>
      <c r="BF25" s="55"/>
      <c r="BG25" s="55"/>
      <c r="BH25" s="55"/>
      <c r="BI25" s="55"/>
      <c r="BJ25" s="55"/>
      <c r="BK25" s="55"/>
      <c r="BL25" s="55"/>
      <c r="BM25" s="66"/>
    </row>
    <row r="26" spans="1:65">
      <c r="A26" s="12" t="str">
        <f>Roster!A26</f>
        <v/>
      </c>
      <c r="B26" s="28">
        <f>Roster!C26</f>
        <v>0</v>
      </c>
      <c r="C26" s="55"/>
      <c r="D26" s="56"/>
      <c r="E26" s="57"/>
      <c r="F26" s="57"/>
      <c r="G26" s="57"/>
      <c r="H26" s="57"/>
      <c r="I26" s="57"/>
      <c r="J26" s="57"/>
      <c r="K26" s="51"/>
      <c r="L26" s="58"/>
      <c r="M26" s="56"/>
      <c r="N26" s="57"/>
      <c r="O26" s="57"/>
      <c r="P26" s="57"/>
      <c r="Q26" s="57"/>
      <c r="R26" s="57"/>
      <c r="S26" s="57"/>
      <c r="T26" s="51"/>
      <c r="U26" s="65"/>
      <c r="V26" s="56"/>
      <c r="W26" s="57"/>
      <c r="X26" s="57"/>
      <c r="Y26" s="57"/>
      <c r="Z26" s="57"/>
      <c r="AA26" s="57"/>
      <c r="AB26" s="57"/>
      <c r="AC26" s="51"/>
      <c r="AD26" s="65"/>
      <c r="AE26" s="56"/>
      <c r="AF26" s="57"/>
      <c r="AG26" s="57"/>
      <c r="AH26" s="57"/>
      <c r="AI26" s="57"/>
      <c r="AJ26" s="57"/>
      <c r="AK26" s="57"/>
      <c r="AL26" s="51"/>
      <c r="AM26" s="65"/>
      <c r="AN26" s="56"/>
      <c r="AO26" s="57"/>
      <c r="AP26" s="57"/>
      <c r="AQ26" s="57"/>
      <c r="AR26" s="57"/>
      <c r="AS26" s="57"/>
      <c r="AT26" s="57"/>
      <c r="AU26" s="51"/>
      <c r="AV26" s="65"/>
      <c r="AW26" s="56"/>
      <c r="AX26" s="55"/>
      <c r="AY26" s="55"/>
      <c r="AZ26" s="55"/>
      <c r="BA26" s="55"/>
      <c r="BB26" s="55"/>
      <c r="BC26" s="55"/>
      <c r="BD26" s="51"/>
      <c r="BE26" s="65"/>
      <c r="BF26" s="55"/>
      <c r="BG26" s="55"/>
      <c r="BH26" s="55"/>
      <c r="BI26" s="55"/>
      <c r="BJ26" s="55"/>
      <c r="BK26" s="55"/>
      <c r="BL26" s="55"/>
      <c r="BM26" s="66"/>
    </row>
    <row r="27" spans="1:65">
      <c r="A27" s="12" t="str">
        <f>Roster!A27</f>
        <v/>
      </c>
      <c r="B27" s="28">
        <f>Roster!C27</f>
        <v>0</v>
      </c>
      <c r="C27" s="55"/>
      <c r="D27" s="56"/>
      <c r="E27" s="57"/>
      <c r="F27" s="57"/>
      <c r="G27" s="57"/>
      <c r="H27" s="57"/>
      <c r="I27" s="57"/>
      <c r="J27" s="57"/>
      <c r="K27" s="51"/>
      <c r="L27" s="58"/>
      <c r="M27" s="56"/>
      <c r="N27" s="57"/>
      <c r="O27" s="57"/>
      <c r="P27" s="57"/>
      <c r="Q27" s="57"/>
      <c r="R27" s="57"/>
      <c r="S27" s="57"/>
      <c r="T27" s="51"/>
      <c r="U27" s="65"/>
      <c r="V27" s="56"/>
      <c r="W27" s="57"/>
      <c r="X27" s="57"/>
      <c r="Y27" s="57"/>
      <c r="Z27" s="57"/>
      <c r="AA27" s="57"/>
      <c r="AB27" s="57"/>
      <c r="AC27" s="51"/>
      <c r="AD27" s="65"/>
      <c r="AE27" s="56"/>
      <c r="AF27" s="57"/>
      <c r="AG27" s="57"/>
      <c r="AH27" s="57"/>
      <c r="AI27" s="57"/>
      <c r="AJ27" s="57"/>
      <c r="AK27" s="57"/>
      <c r="AL27" s="51"/>
      <c r="AM27" s="65"/>
      <c r="AN27" s="56"/>
      <c r="AO27" s="57"/>
      <c r="AP27" s="57"/>
      <c r="AQ27" s="57"/>
      <c r="AR27" s="57"/>
      <c r="AS27" s="57"/>
      <c r="AT27" s="57"/>
      <c r="AU27" s="51"/>
      <c r="AV27" s="65"/>
      <c r="AW27" s="56"/>
      <c r="AX27" s="55"/>
      <c r="AY27" s="55"/>
      <c r="AZ27" s="55"/>
      <c r="BA27" s="55"/>
      <c r="BB27" s="55"/>
      <c r="BC27" s="55"/>
      <c r="BD27" s="51"/>
      <c r="BE27" s="65"/>
      <c r="BF27" s="55"/>
      <c r="BG27" s="55"/>
      <c r="BH27" s="55"/>
      <c r="BI27" s="55"/>
      <c r="BJ27" s="55"/>
      <c r="BK27" s="55"/>
      <c r="BL27" s="55"/>
      <c r="BM27" s="66"/>
    </row>
    <row r="28" spans="1:65">
      <c r="A28" s="12" t="str">
        <f>Roster!A28</f>
        <v/>
      </c>
      <c r="B28" s="28">
        <f>Roster!C28</f>
        <v>0</v>
      </c>
      <c r="C28" s="55"/>
      <c r="D28" s="56"/>
      <c r="E28" s="57"/>
      <c r="F28" s="57"/>
      <c r="G28" s="57"/>
      <c r="H28" s="57"/>
      <c r="I28" s="57"/>
      <c r="J28" s="57"/>
      <c r="K28" s="51"/>
      <c r="L28" s="58"/>
      <c r="M28" s="56"/>
      <c r="N28" s="57"/>
      <c r="O28" s="57"/>
      <c r="P28" s="57"/>
      <c r="Q28" s="57"/>
      <c r="R28" s="57"/>
      <c r="S28" s="57"/>
      <c r="T28" s="51"/>
      <c r="U28" s="65"/>
      <c r="V28" s="56"/>
      <c r="W28" s="57"/>
      <c r="X28" s="57"/>
      <c r="Y28" s="57"/>
      <c r="Z28" s="57"/>
      <c r="AA28" s="57"/>
      <c r="AB28" s="57"/>
      <c r="AC28" s="51"/>
      <c r="AD28" s="65"/>
      <c r="AE28" s="56"/>
      <c r="AF28" s="57"/>
      <c r="AG28" s="57"/>
      <c r="AH28" s="57"/>
      <c r="AI28" s="57"/>
      <c r="AJ28" s="57"/>
      <c r="AK28" s="57"/>
      <c r="AL28" s="51"/>
      <c r="AM28" s="65"/>
      <c r="AN28" s="56"/>
      <c r="AO28" s="57"/>
      <c r="AP28" s="57"/>
      <c r="AQ28" s="57"/>
      <c r="AR28" s="57"/>
      <c r="AS28" s="57"/>
      <c r="AT28" s="57"/>
      <c r="AU28" s="51"/>
      <c r="AV28" s="65"/>
      <c r="AW28" s="56"/>
      <c r="AX28" s="55"/>
      <c r="AY28" s="55"/>
      <c r="AZ28" s="55"/>
      <c r="BA28" s="55"/>
      <c r="BB28" s="55"/>
      <c r="BC28" s="55"/>
      <c r="BD28" s="51"/>
      <c r="BE28" s="65"/>
      <c r="BF28" s="55"/>
      <c r="BG28" s="55"/>
      <c r="BH28" s="55"/>
      <c r="BI28" s="55"/>
      <c r="BJ28" s="55"/>
      <c r="BK28" s="55"/>
      <c r="BL28" s="55"/>
      <c r="BM28" s="66"/>
    </row>
    <row r="29" spans="1:65">
      <c r="A29" s="12" t="str">
        <f>Roster!A29</f>
        <v/>
      </c>
      <c r="B29" s="28">
        <f>Roster!C29</f>
        <v>0</v>
      </c>
      <c r="C29" s="55"/>
      <c r="D29" s="56"/>
      <c r="E29" s="57"/>
      <c r="F29" s="57"/>
      <c r="G29" s="57"/>
      <c r="H29" s="57"/>
      <c r="I29" s="57"/>
      <c r="J29" s="57"/>
      <c r="K29" s="51"/>
      <c r="L29" s="58"/>
      <c r="M29" s="56"/>
      <c r="N29" s="57"/>
      <c r="O29" s="57"/>
      <c r="P29" s="57"/>
      <c r="Q29" s="57"/>
      <c r="R29" s="57"/>
      <c r="S29" s="57"/>
      <c r="T29" s="51"/>
      <c r="U29" s="65"/>
      <c r="V29" s="56"/>
      <c r="W29" s="57"/>
      <c r="X29" s="57"/>
      <c r="Y29" s="57"/>
      <c r="Z29" s="57"/>
      <c r="AA29" s="57"/>
      <c r="AB29" s="57"/>
      <c r="AC29" s="51"/>
      <c r="AD29" s="65"/>
      <c r="AE29" s="56"/>
      <c r="AF29" s="57"/>
      <c r="AG29" s="57"/>
      <c r="AH29" s="57"/>
      <c r="AI29" s="57"/>
      <c r="AJ29" s="57"/>
      <c r="AK29" s="57"/>
      <c r="AL29" s="51"/>
      <c r="AM29" s="65"/>
      <c r="AN29" s="56"/>
      <c r="AO29" s="57"/>
      <c r="AP29" s="57"/>
      <c r="AQ29" s="57"/>
      <c r="AR29" s="57"/>
      <c r="AS29" s="57"/>
      <c r="AT29" s="57"/>
      <c r="AU29" s="51"/>
      <c r="AV29" s="65"/>
      <c r="AW29" s="56"/>
      <c r="AX29" s="55"/>
      <c r="AY29" s="55"/>
      <c r="AZ29" s="55"/>
      <c r="BA29" s="55"/>
      <c r="BB29" s="55"/>
      <c r="BC29" s="55"/>
      <c r="BD29" s="51"/>
      <c r="BE29" s="65"/>
      <c r="BF29" s="55"/>
      <c r="BG29" s="55"/>
      <c r="BH29" s="55"/>
      <c r="BI29" s="55"/>
      <c r="BJ29" s="55"/>
      <c r="BK29" s="55"/>
      <c r="BL29" s="55"/>
      <c r="BM29" s="66"/>
    </row>
    <row r="30" spans="1:65">
      <c r="A30" s="12" t="str">
        <f>Roster!A30</f>
        <v/>
      </c>
      <c r="B30" s="28">
        <f>Roster!C30</f>
        <v>0</v>
      </c>
      <c r="C30" s="55"/>
      <c r="D30" s="56"/>
      <c r="E30" s="57"/>
      <c r="F30" s="57"/>
      <c r="G30" s="57"/>
      <c r="H30" s="57"/>
      <c r="I30" s="57"/>
      <c r="J30" s="57"/>
      <c r="K30" s="51"/>
      <c r="L30" s="58"/>
      <c r="M30" s="56"/>
      <c r="N30" s="57"/>
      <c r="O30" s="57"/>
      <c r="P30" s="57"/>
      <c r="Q30" s="57"/>
      <c r="R30" s="57"/>
      <c r="S30" s="57"/>
      <c r="T30" s="51"/>
      <c r="U30" s="65"/>
      <c r="V30" s="56"/>
      <c r="W30" s="57"/>
      <c r="X30" s="57"/>
      <c r="Y30" s="57"/>
      <c r="Z30" s="57"/>
      <c r="AA30" s="57"/>
      <c r="AB30" s="57"/>
      <c r="AC30" s="51"/>
      <c r="AD30" s="65"/>
      <c r="AE30" s="56"/>
      <c r="AF30" s="57"/>
      <c r="AG30" s="57"/>
      <c r="AH30" s="57"/>
      <c r="AI30" s="57"/>
      <c r="AJ30" s="57"/>
      <c r="AK30" s="57"/>
      <c r="AL30" s="51"/>
      <c r="AM30" s="65"/>
      <c r="AN30" s="56"/>
      <c r="AO30" s="57"/>
      <c r="AP30" s="57"/>
      <c r="AQ30" s="57"/>
      <c r="AR30" s="57"/>
      <c r="AS30" s="57"/>
      <c r="AT30" s="57"/>
      <c r="AU30" s="51"/>
      <c r="AV30" s="65"/>
      <c r="AW30" s="56"/>
      <c r="AX30" s="55"/>
      <c r="AY30" s="55"/>
      <c r="AZ30" s="55"/>
      <c r="BA30" s="55"/>
      <c r="BB30" s="55"/>
      <c r="BC30" s="55"/>
      <c r="BD30" s="51"/>
      <c r="BE30" s="65"/>
      <c r="BF30" s="55"/>
      <c r="BG30" s="55"/>
      <c r="BH30" s="55"/>
      <c r="BI30" s="55"/>
      <c r="BJ30" s="55"/>
      <c r="BK30" s="55"/>
      <c r="BL30" s="55"/>
      <c r="BM30" s="66"/>
    </row>
    <row r="31" spans="1:65">
      <c r="A31" s="12" t="str">
        <f>Roster!A31</f>
        <v/>
      </c>
      <c r="B31" s="28">
        <f>Roster!C31</f>
        <v>0</v>
      </c>
      <c r="C31" s="55"/>
      <c r="D31" s="56"/>
      <c r="E31" s="57"/>
      <c r="F31" s="57"/>
      <c r="G31" s="57"/>
      <c r="H31" s="57"/>
      <c r="I31" s="57"/>
      <c r="J31" s="57"/>
      <c r="K31" s="51"/>
      <c r="L31" s="58"/>
      <c r="M31" s="56"/>
      <c r="N31" s="57"/>
      <c r="O31" s="57"/>
      <c r="P31" s="57"/>
      <c r="Q31" s="57"/>
      <c r="R31" s="57"/>
      <c r="S31" s="57"/>
      <c r="T31" s="51"/>
      <c r="U31" s="65"/>
      <c r="V31" s="56"/>
      <c r="W31" s="57"/>
      <c r="X31" s="57"/>
      <c r="Y31" s="57"/>
      <c r="Z31" s="57"/>
      <c r="AA31" s="57"/>
      <c r="AB31" s="57"/>
      <c r="AC31" s="51"/>
      <c r="AD31" s="65"/>
      <c r="AE31" s="56"/>
      <c r="AF31" s="57"/>
      <c r="AG31" s="57"/>
      <c r="AH31" s="57"/>
      <c r="AI31" s="57"/>
      <c r="AJ31" s="57"/>
      <c r="AK31" s="57"/>
      <c r="AL31" s="51"/>
      <c r="AM31" s="65"/>
      <c r="AN31" s="56"/>
      <c r="AO31" s="57"/>
      <c r="AP31" s="57"/>
      <c r="AQ31" s="57"/>
      <c r="AR31" s="57"/>
      <c r="AS31" s="57"/>
      <c r="AT31" s="57"/>
      <c r="AU31" s="51"/>
      <c r="AV31" s="65"/>
      <c r="AW31" s="56"/>
      <c r="AX31" s="55"/>
      <c r="AY31" s="55"/>
      <c r="AZ31" s="55"/>
      <c r="BA31" s="55"/>
      <c r="BB31" s="55"/>
      <c r="BC31" s="55"/>
      <c r="BD31" s="51"/>
      <c r="BE31" s="65"/>
      <c r="BF31" s="55"/>
      <c r="BG31" s="55"/>
      <c r="BH31" s="55"/>
      <c r="BI31" s="55"/>
      <c r="BJ31" s="55"/>
      <c r="BK31" s="55"/>
      <c r="BL31" s="55"/>
      <c r="BM31" s="66"/>
    </row>
    <row r="32" spans="1:65">
      <c r="A32" s="12" t="str">
        <f>Roster!A32</f>
        <v/>
      </c>
      <c r="B32" s="28">
        <f>Roster!C32</f>
        <v>0</v>
      </c>
      <c r="C32" s="55"/>
      <c r="D32" s="56"/>
      <c r="E32" s="57"/>
      <c r="F32" s="57"/>
      <c r="G32" s="57"/>
      <c r="H32" s="57"/>
      <c r="I32" s="57"/>
      <c r="J32" s="57"/>
      <c r="K32" s="51"/>
      <c r="L32" s="58"/>
      <c r="M32" s="56"/>
      <c r="N32" s="57"/>
      <c r="O32" s="57"/>
      <c r="P32" s="57"/>
      <c r="Q32" s="57"/>
      <c r="R32" s="57"/>
      <c r="S32" s="57"/>
      <c r="T32" s="51"/>
      <c r="U32" s="65"/>
      <c r="V32" s="56"/>
      <c r="W32" s="57"/>
      <c r="X32" s="57"/>
      <c r="Y32" s="57"/>
      <c r="Z32" s="57"/>
      <c r="AA32" s="57"/>
      <c r="AB32" s="57"/>
      <c r="AC32" s="51"/>
      <c r="AD32" s="65"/>
      <c r="AE32" s="56"/>
      <c r="AF32" s="57"/>
      <c r="AG32" s="57"/>
      <c r="AH32" s="57"/>
      <c r="AI32" s="57"/>
      <c r="AJ32" s="57"/>
      <c r="AK32" s="57"/>
      <c r="AL32" s="51"/>
      <c r="AM32" s="65"/>
      <c r="AN32" s="56"/>
      <c r="AO32" s="57"/>
      <c r="AP32" s="57"/>
      <c r="AQ32" s="57"/>
      <c r="AR32" s="57"/>
      <c r="AS32" s="57"/>
      <c r="AT32" s="57"/>
      <c r="AU32" s="51"/>
      <c r="AV32" s="65"/>
      <c r="AW32" s="56"/>
      <c r="AX32" s="55"/>
      <c r="AY32" s="55"/>
      <c r="AZ32" s="55"/>
      <c r="BA32" s="55"/>
      <c r="BB32" s="55"/>
      <c r="BC32" s="55"/>
      <c r="BD32" s="51"/>
      <c r="BE32" s="65"/>
      <c r="BF32" s="55"/>
      <c r="BG32" s="55"/>
      <c r="BH32" s="55"/>
      <c r="BI32" s="55"/>
      <c r="BJ32" s="55"/>
      <c r="BK32" s="55"/>
      <c r="BL32" s="55"/>
      <c r="BM32" s="66"/>
    </row>
    <row r="33" spans="1:65">
      <c r="A33" s="12" t="str">
        <f>Roster!A33</f>
        <v/>
      </c>
      <c r="B33" s="28">
        <f>Roster!C33</f>
        <v>0</v>
      </c>
      <c r="C33" s="55"/>
      <c r="D33" s="56"/>
      <c r="E33" s="57"/>
      <c r="F33" s="57"/>
      <c r="G33" s="57"/>
      <c r="H33" s="57"/>
      <c r="I33" s="57"/>
      <c r="J33" s="57"/>
      <c r="K33" s="51"/>
      <c r="L33" s="58"/>
      <c r="M33" s="56"/>
      <c r="N33" s="57"/>
      <c r="O33" s="57"/>
      <c r="P33" s="57"/>
      <c r="Q33" s="57"/>
      <c r="R33" s="57"/>
      <c r="S33" s="57"/>
      <c r="T33" s="51"/>
      <c r="U33" s="65"/>
      <c r="V33" s="56"/>
      <c r="W33" s="57"/>
      <c r="X33" s="57"/>
      <c r="Y33" s="57"/>
      <c r="Z33" s="57"/>
      <c r="AA33" s="57"/>
      <c r="AB33" s="57"/>
      <c r="AC33" s="51"/>
      <c r="AD33" s="65"/>
      <c r="AE33" s="56"/>
      <c r="AF33" s="57"/>
      <c r="AG33" s="57"/>
      <c r="AH33" s="57"/>
      <c r="AI33" s="57"/>
      <c r="AJ33" s="57"/>
      <c r="AK33" s="57"/>
      <c r="AL33" s="51"/>
      <c r="AM33" s="65"/>
      <c r="AN33" s="56"/>
      <c r="AO33" s="57"/>
      <c r="AP33" s="57"/>
      <c r="AQ33" s="57"/>
      <c r="AR33" s="57"/>
      <c r="AS33" s="57"/>
      <c r="AT33" s="57"/>
      <c r="AU33" s="51"/>
      <c r="AV33" s="65"/>
      <c r="AW33" s="56"/>
      <c r="AX33" s="55"/>
      <c r="AY33" s="55"/>
      <c r="AZ33" s="55"/>
      <c r="BA33" s="55"/>
      <c r="BB33" s="55"/>
      <c r="BC33" s="55"/>
      <c r="BD33" s="51"/>
      <c r="BE33" s="65"/>
      <c r="BF33" s="55"/>
      <c r="BG33" s="55"/>
      <c r="BH33" s="55"/>
      <c r="BI33" s="55"/>
      <c r="BJ33" s="55"/>
      <c r="BK33" s="55"/>
      <c r="BL33" s="55"/>
      <c r="BM33" s="66"/>
    </row>
    <row r="34" spans="1:65">
      <c r="A34" s="12" t="str">
        <f>Roster!A34</f>
        <v/>
      </c>
      <c r="B34" s="28">
        <f>Roster!C34</f>
        <v>0</v>
      </c>
      <c r="C34" s="55"/>
      <c r="D34" s="56"/>
      <c r="E34" s="57"/>
      <c r="F34" s="57"/>
      <c r="G34" s="57"/>
      <c r="H34" s="57"/>
      <c r="I34" s="57"/>
      <c r="J34" s="57"/>
      <c r="K34" s="51"/>
      <c r="L34" s="58"/>
      <c r="M34" s="56"/>
      <c r="N34" s="57"/>
      <c r="O34" s="57"/>
      <c r="P34" s="57"/>
      <c r="Q34" s="57"/>
      <c r="R34" s="57"/>
      <c r="S34" s="57"/>
      <c r="T34" s="51"/>
      <c r="U34" s="65"/>
      <c r="V34" s="56"/>
      <c r="W34" s="57"/>
      <c r="X34" s="57"/>
      <c r="Y34" s="57"/>
      <c r="Z34" s="57"/>
      <c r="AA34" s="57"/>
      <c r="AB34" s="57"/>
      <c r="AC34" s="51"/>
      <c r="AD34" s="65"/>
      <c r="AE34" s="56"/>
      <c r="AF34" s="57"/>
      <c r="AG34" s="57"/>
      <c r="AH34" s="57"/>
      <c r="AI34" s="57"/>
      <c r="AJ34" s="57"/>
      <c r="AK34" s="57"/>
      <c r="AL34" s="51"/>
      <c r="AM34" s="65"/>
      <c r="AN34" s="56"/>
      <c r="AO34" s="57"/>
      <c r="AP34" s="57"/>
      <c r="AQ34" s="57"/>
      <c r="AR34" s="57"/>
      <c r="AS34" s="57"/>
      <c r="AT34" s="57"/>
      <c r="AU34" s="51"/>
      <c r="AV34" s="65"/>
      <c r="AW34" s="56"/>
      <c r="AX34" s="55"/>
      <c r="AY34" s="55"/>
      <c r="AZ34" s="55"/>
      <c r="BA34" s="55"/>
      <c r="BB34" s="55"/>
      <c r="BC34" s="55"/>
      <c r="BD34" s="51"/>
      <c r="BE34" s="65"/>
      <c r="BF34" s="55"/>
      <c r="BG34" s="55"/>
      <c r="BH34" s="55"/>
      <c r="BI34" s="55"/>
      <c r="BJ34" s="55"/>
      <c r="BK34" s="55"/>
      <c r="BL34" s="55"/>
      <c r="BM34" s="66"/>
    </row>
    <row r="35" spans="1:65">
      <c r="A35" s="12" t="str">
        <f>Roster!A35</f>
        <v/>
      </c>
      <c r="B35" s="28">
        <f>Roster!C35</f>
        <v>0</v>
      </c>
      <c r="C35" s="55"/>
      <c r="D35" s="56"/>
      <c r="E35" s="57"/>
      <c r="F35" s="57"/>
      <c r="G35" s="57"/>
      <c r="H35" s="57"/>
      <c r="I35" s="57"/>
      <c r="J35" s="57"/>
      <c r="K35" s="51"/>
      <c r="L35" s="58"/>
      <c r="M35" s="56"/>
      <c r="N35" s="57"/>
      <c r="O35" s="57"/>
      <c r="P35" s="57"/>
      <c r="Q35" s="57"/>
      <c r="R35" s="57"/>
      <c r="S35" s="57"/>
      <c r="T35" s="51"/>
      <c r="U35" s="65"/>
      <c r="V35" s="56"/>
      <c r="W35" s="57"/>
      <c r="X35" s="57"/>
      <c r="Y35" s="57"/>
      <c r="Z35" s="57"/>
      <c r="AA35" s="57"/>
      <c r="AB35" s="57"/>
      <c r="AC35" s="51"/>
      <c r="AD35" s="65"/>
      <c r="AE35" s="56"/>
      <c r="AF35" s="57"/>
      <c r="AG35" s="57"/>
      <c r="AH35" s="57"/>
      <c r="AI35" s="57"/>
      <c r="AJ35" s="57"/>
      <c r="AK35" s="57"/>
      <c r="AL35" s="51"/>
      <c r="AM35" s="65"/>
      <c r="AN35" s="56"/>
      <c r="AO35" s="57"/>
      <c r="AP35" s="57"/>
      <c r="AQ35" s="57"/>
      <c r="AR35" s="57"/>
      <c r="AS35" s="57"/>
      <c r="AT35" s="57"/>
      <c r="AU35" s="51"/>
      <c r="AV35" s="65"/>
      <c r="AW35" s="56"/>
      <c r="AX35" s="55"/>
      <c r="AY35" s="55"/>
      <c r="AZ35" s="55"/>
      <c r="BA35" s="55"/>
      <c r="BB35" s="55"/>
      <c r="BC35" s="55"/>
      <c r="BD35" s="51"/>
      <c r="BE35" s="65"/>
      <c r="BF35" s="55"/>
      <c r="BG35" s="55"/>
      <c r="BH35" s="55"/>
      <c r="BI35" s="55"/>
      <c r="BJ35" s="55"/>
      <c r="BK35" s="55"/>
      <c r="BL35" s="55"/>
      <c r="BM35" s="66"/>
    </row>
    <row r="36" spans="1:65">
      <c r="A36" s="12" t="str">
        <f>Roster!A36</f>
        <v/>
      </c>
      <c r="B36" s="28">
        <f>Roster!C36</f>
        <v>0</v>
      </c>
      <c r="C36" s="55"/>
      <c r="D36" s="56"/>
      <c r="E36" s="57"/>
      <c r="F36" s="57"/>
      <c r="G36" s="57"/>
      <c r="H36" s="57"/>
      <c r="I36" s="57"/>
      <c r="J36" s="57"/>
      <c r="K36" s="51"/>
      <c r="L36" s="58"/>
      <c r="M36" s="56"/>
      <c r="N36" s="57"/>
      <c r="O36" s="57"/>
      <c r="P36" s="57"/>
      <c r="Q36" s="57"/>
      <c r="R36" s="57"/>
      <c r="S36" s="57"/>
      <c r="T36" s="51"/>
      <c r="U36" s="65"/>
      <c r="V36" s="56"/>
      <c r="W36" s="57"/>
      <c r="X36" s="57"/>
      <c r="Y36" s="57"/>
      <c r="Z36" s="57"/>
      <c r="AA36" s="57"/>
      <c r="AB36" s="57"/>
      <c r="AC36" s="51"/>
      <c r="AD36" s="65"/>
      <c r="AE36" s="56"/>
      <c r="AF36" s="57"/>
      <c r="AG36" s="57"/>
      <c r="AH36" s="57"/>
      <c r="AI36" s="57"/>
      <c r="AJ36" s="57"/>
      <c r="AK36" s="57"/>
      <c r="AL36" s="51"/>
      <c r="AM36" s="65"/>
      <c r="AN36" s="56"/>
      <c r="AO36" s="57"/>
      <c r="AP36" s="57"/>
      <c r="AQ36" s="57"/>
      <c r="AR36" s="57"/>
      <c r="AS36" s="57"/>
      <c r="AT36" s="57"/>
      <c r="AU36" s="51"/>
      <c r="AV36" s="65"/>
      <c r="AW36" s="56"/>
      <c r="AX36" s="55"/>
      <c r="AY36" s="55"/>
      <c r="AZ36" s="55"/>
      <c r="BA36" s="55"/>
      <c r="BB36" s="55"/>
      <c r="BC36" s="55"/>
      <c r="BD36" s="51"/>
      <c r="BE36" s="65"/>
      <c r="BF36" s="55"/>
      <c r="BG36" s="55"/>
      <c r="BH36" s="55"/>
      <c r="BI36" s="55"/>
      <c r="BJ36" s="55"/>
      <c r="BK36" s="55"/>
      <c r="BL36" s="55"/>
      <c r="BM36" s="66"/>
    </row>
    <row r="37" spans="1:65">
      <c r="A37" s="12" t="str">
        <f>Roster!A37</f>
        <v/>
      </c>
      <c r="B37" s="28">
        <f>Roster!C37</f>
        <v>0</v>
      </c>
      <c r="C37" s="55"/>
      <c r="D37" s="56"/>
      <c r="E37" s="57"/>
      <c r="F37" s="57"/>
      <c r="G37" s="57"/>
      <c r="H37" s="57"/>
      <c r="I37" s="57"/>
      <c r="J37" s="57"/>
      <c r="K37" s="51"/>
      <c r="L37" s="58"/>
      <c r="M37" s="56"/>
      <c r="N37" s="57"/>
      <c r="O37" s="57"/>
      <c r="P37" s="57"/>
      <c r="Q37" s="57"/>
      <c r="R37" s="57"/>
      <c r="S37" s="57"/>
      <c r="T37" s="51"/>
      <c r="U37" s="65"/>
      <c r="V37" s="56"/>
      <c r="W37" s="57"/>
      <c r="X37" s="57"/>
      <c r="Y37" s="57"/>
      <c r="Z37" s="57"/>
      <c r="AA37" s="57"/>
      <c r="AB37" s="57"/>
      <c r="AC37" s="51"/>
      <c r="AD37" s="65"/>
      <c r="AE37" s="56"/>
      <c r="AF37" s="57"/>
      <c r="AG37" s="57"/>
      <c r="AH37" s="57"/>
      <c r="AI37" s="57"/>
      <c r="AJ37" s="57"/>
      <c r="AK37" s="57"/>
      <c r="AL37" s="51"/>
      <c r="AM37" s="65"/>
      <c r="AN37" s="56"/>
      <c r="AO37" s="57"/>
      <c r="AP37" s="57"/>
      <c r="AQ37" s="57"/>
      <c r="AR37" s="57"/>
      <c r="AS37" s="57"/>
      <c r="AT37" s="57"/>
      <c r="AU37" s="51"/>
      <c r="AV37" s="65"/>
      <c r="AW37" s="56"/>
      <c r="AX37" s="55"/>
      <c r="AY37" s="55"/>
      <c r="AZ37" s="55"/>
      <c r="BA37" s="55"/>
      <c r="BB37" s="55"/>
      <c r="BC37" s="55"/>
      <c r="BD37" s="51"/>
      <c r="BE37" s="65"/>
      <c r="BF37" s="55"/>
      <c r="BG37" s="55"/>
      <c r="BH37" s="55"/>
      <c r="BI37" s="55"/>
      <c r="BJ37" s="55"/>
      <c r="BK37" s="55"/>
      <c r="BL37" s="55"/>
      <c r="BM37" s="66"/>
    </row>
    <row r="38" spans="1:65">
      <c r="A38" s="12" t="str">
        <f>Roster!A38</f>
        <v/>
      </c>
      <c r="B38" s="28">
        <f>Roster!C38</f>
        <v>0</v>
      </c>
      <c r="C38" s="55"/>
      <c r="D38" s="56"/>
      <c r="E38" s="57"/>
      <c r="F38" s="57"/>
      <c r="G38" s="57"/>
      <c r="H38" s="57"/>
      <c r="I38" s="57"/>
      <c r="J38" s="57"/>
      <c r="K38" s="51"/>
      <c r="L38" s="58"/>
      <c r="M38" s="56"/>
      <c r="N38" s="57"/>
      <c r="O38" s="57"/>
      <c r="P38" s="57"/>
      <c r="Q38" s="57"/>
      <c r="R38" s="57"/>
      <c r="S38" s="57"/>
      <c r="T38" s="51"/>
      <c r="U38" s="65"/>
      <c r="V38" s="56"/>
      <c r="W38" s="57"/>
      <c r="X38" s="57"/>
      <c r="Y38" s="57"/>
      <c r="Z38" s="57"/>
      <c r="AA38" s="57"/>
      <c r="AB38" s="57"/>
      <c r="AC38" s="51"/>
      <c r="AD38" s="65"/>
      <c r="AE38" s="56"/>
      <c r="AF38" s="57"/>
      <c r="AG38" s="57"/>
      <c r="AH38" s="57"/>
      <c r="AI38" s="57"/>
      <c r="AJ38" s="57"/>
      <c r="AK38" s="57"/>
      <c r="AL38" s="51"/>
      <c r="AM38" s="65"/>
      <c r="AN38" s="56"/>
      <c r="AO38" s="57"/>
      <c r="AP38" s="57"/>
      <c r="AQ38" s="57"/>
      <c r="AR38" s="57"/>
      <c r="AS38" s="57"/>
      <c r="AT38" s="57"/>
      <c r="AU38" s="51"/>
      <c r="AV38" s="65"/>
      <c r="AW38" s="56"/>
      <c r="AX38" s="55"/>
      <c r="AY38" s="55"/>
      <c r="AZ38" s="55"/>
      <c r="BA38" s="55"/>
      <c r="BB38" s="55"/>
      <c r="BC38" s="55"/>
      <c r="BD38" s="51"/>
      <c r="BE38" s="65"/>
      <c r="BF38" s="55"/>
      <c r="BG38" s="55"/>
      <c r="BH38" s="55"/>
      <c r="BI38" s="55"/>
      <c r="BJ38" s="55"/>
      <c r="BK38" s="55"/>
      <c r="BL38" s="55"/>
      <c r="BM38" s="66"/>
    </row>
    <row r="39" spans="1:65">
      <c r="A39" s="12" t="str">
        <f>Roster!A39</f>
        <v/>
      </c>
      <c r="B39" s="28">
        <f>Roster!C39</f>
        <v>0</v>
      </c>
      <c r="C39" s="55"/>
      <c r="D39" s="56"/>
      <c r="E39" s="57"/>
      <c r="F39" s="57"/>
      <c r="G39" s="57"/>
      <c r="H39" s="57"/>
      <c r="I39" s="57"/>
      <c r="J39" s="57"/>
      <c r="K39" s="51"/>
      <c r="L39" s="58"/>
      <c r="M39" s="56"/>
      <c r="N39" s="57"/>
      <c r="O39" s="57"/>
      <c r="P39" s="57"/>
      <c r="Q39" s="57"/>
      <c r="R39" s="57"/>
      <c r="S39" s="57"/>
      <c r="T39" s="51"/>
      <c r="U39" s="65"/>
      <c r="V39" s="56"/>
      <c r="W39" s="57"/>
      <c r="X39" s="57"/>
      <c r="Y39" s="57"/>
      <c r="Z39" s="57"/>
      <c r="AA39" s="57"/>
      <c r="AB39" s="57"/>
      <c r="AC39" s="51"/>
      <c r="AD39" s="65"/>
      <c r="AE39" s="56"/>
      <c r="AF39" s="57"/>
      <c r="AG39" s="57"/>
      <c r="AH39" s="57"/>
      <c r="AI39" s="57"/>
      <c r="AJ39" s="57"/>
      <c r="AK39" s="57"/>
      <c r="AL39" s="51"/>
      <c r="AM39" s="65"/>
      <c r="AN39" s="56"/>
      <c r="AO39" s="57"/>
      <c r="AP39" s="57"/>
      <c r="AQ39" s="57"/>
      <c r="AR39" s="57"/>
      <c r="AS39" s="57"/>
      <c r="AT39" s="57"/>
      <c r="AU39" s="51"/>
      <c r="AV39" s="65"/>
      <c r="AW39" s="56"/>
      <c r="AX39" s="55"/>
      <c r="AY39" s="55"/>
      <c r="AZ39" s="55"/>
      <c r="BA39" s="55"/>
      <c r="BB39" s="55"/>
      <c r="BC39" s="55"/>
      <c r="BD39" s="51"/>
      <c r="BE39" s="65"/>
      <c r="BF39" s="55"/>
      <c r="BG39" s="55"/>
      <c r="BH39" s="55"/>
      <c r="BI39" s="55"/>
      <c r="BJ39" s="55"/>
      <c r="BK39" s="55"/>
      <c r="BL39" s="55"/>
      <c r="BM39" s="66"/>
    </row>
    <row r="40" spans="1:65">
      <c r="A40" s="12" t="str">
        <f>Roster!A40</f>
        <v/>
      </c>
      <c r="B40" s="28">
        <f>Roster!C40</f>
        <v>0</v>
      </c>
      <c r="C40" s="55"/>
      <c r="D40" s="56"/>
      <c r="E40" s="57"/>
      <c r="F40" s="57"/>
      <c r="G40" s="57"/>
      <c r="H40" s="57"/>
      <c r="I40" s="57"/>
      <c r="J40" s="57"/>
      <c r="K40" s="51"/>
      <c r="L40" s="58"/>
      <c r="M40" s="56"/>
      <c r="N40" s="57"/>
      <c r="O40" s="57"/>
      <c r="P40" s="57"/>
      <c r="Q40" s="57"/>
      <c r="R40" s="57"/>
      <c r="S40" s="57"/>
      <c r="T40" s="51"/>
      <c r="U40" s="65"/>
      <c r="V40" s="56"/>
      <c r="W40" s="57"/>
      <c r="X40" s="57"/>
      <c r="Y40" s="57"/>
      <c r="Z40" s="57"/>
      <c r="AA40" s="57"/>
      <c r="AB40" s="57"/>
      <c r="AC40" s="51"/>
      <c r="AD40" s="65"/>
      <c r="AE40" s="56"/>
      <c r="AF40" s="57"/>
      <c r="AG40" s="57"/>
      <c r="AH40" s="57"/>
      <c r="AI40" s="57"/>
      <c r="AJ40" s="57"/>
      <c r="AK40" s="57"/>
      <c r="AL40" s="51"/>
      <c r="AM40" s="65"/>
      <c r="AN40" s="56"/>
      <c r="AO40" s="57"/>
      <c r="AP40" s="57"/>
      <c r="AQ40" s="57"/>
      <c r="AR40" s="57"/>
      <c r="AS40" s="57"/>
      <c r="AT40" s="57"/>
      <c r="AU40" s="51"/>
      <c r="AV40" s="65"/>
      <c r="AW40" s="56"/>
      <c r="AX40" s="55"/>
      <c r="AY40" s="55"/>
      <c r="AZ40" s="55"/>
      <c r="BA40" s="55"/>
      <c r="BB40" s="55"/>
      <c r="BC40" s="55"/>
      <c r="BD40" s="51"/>
      <c r="BE40" s="65"/>
      <c r="BF40" s="55"/>
      <c r="BG40" s="55"/>
      <c r="BH40" s="55"/>
      <c r="BI40" s="55"/>
      <c r="BJ40" s="55"/>
      <c r="BK40" s="55"/>
      <c r="BL40" s="55"/>
      <c r="BM40" s="66"/>
    </row>
    <row r="41" spans="1:65">
      <c r="A41" s="12" t="str">
        <f>Roster!A41</f>
        <v/>
      </c>
      <c r="B41" s="28">
        <f>Roster!C41</f>
        <v>0</v>
      </c>
      <c r="C41" s="55"/>
      <c r="D41" s="56"/>
      <c r="E41" s="57"/>
      <c r="F41" s="57"/>
      <c r="G41" s="57"/>
      <c r="H41" s="57"/>
      <c r="I41" s="57"/>
      <c r="J41" s="57"/>
      <c r="K41" s="51"/>
      <c r="L41" s="58"/>
      <c r="M41" s="56"/>
      <c r="N41" s="57"/>
      <c r="O41" s="57"/>
      <c r="P41" s="57"/>
      <c r="Q41" s="57"/>
      <c r="R41" s="57"/>
      <c r="S41" s="57"/>
      <c r="T41" s="51"/>
      <c r="U41" s="65"/>
      <c r="V41" s="56"/>
      <c r="W41" s="57"/>
      <c r="X41" s="57"/>
      <c r="Y41" s="57"/>
      <c r="Z41" s="57"/>
      <c r="AA41" s="57"/>
      <c r="AB41" s="57"/>
      <c r="AC41" s="51"/>
      <c r="AD41" s="65"/>
      <c r="AE41" s="56"/>
      <c r="AF41" s="57"/>
      <c r="AG41" s="57"/>
      <c r="AH41" s="57"/>
      <c r="AI41" s="57"/>
      <c r="AJ41" s="57"/>
      <c r="AK41" s="57"/>
      <c r="AL41" s="51"/>
      <c r="AM41" s="65"/>
      <c r="AN41" s="56"/>
      <c r="AO41" s="57"/>
      <c r="AP41" s="57"/>
      <c r="AQ41" s="57"/>
      <c r="AR41" s="57"/>
      <c r="AS41" s="57"/>
      <c r="AT41" s="57"/>
      <c r="AU41" s="51"/>
      <c r="AV41" s="65"/>
      <c r="AW41" s="56"/>
      <c r="AX41" s="55"/>
      <c r="AY41" s="55"/>
      <c r="AZ41" s="55"/>
      <c r="BA41" s="55"/>
      <c r="BB41" s="55"/>
      <c r="BC41" s="55"/>
      <c r="BD41" s="51"/>
      <c r="BE41" s="65"/>
      <c r="BF41" s="55"/>
      <c r="BG41" s="55"/>
      <c r="BH41" s="55"/>
      <c r="BI41" s="55"/>
      <c r="BJ41" s="55"/>
      <c r="BK41" s="55"/>
      <c r="BL41" s="55"/>
      <c r="BM41" s="66"/>
    </row>
    <row r="42" spans="1:65">
      <c r="A42" s="12" t="str">
        <f>Roster!A42</f>
        <v/>
      </c>
      <c r="B42" s="28">
        <f>Roster!C42</f>
        <v>0</v>
      </c>
      <c r="C42" s="55"/>
      <c r="D42" s="56"/>
      <c r="E42" s="57"/>
      <c r="F42" s="57"/>
      <c r="G42" s="57"/>
      <c r="H42" s="57"/>
      <c r="I42" s="57"/>
      <c r="J42" s="57"/>
      <c r="K42" s="51"/>
      <c r="L42" s="58"/>
      <c r="M42" s="56"/>
      <c r="N42" s="57"/>
      <c r="O42" s="57"/>
      <c r="P42" s="57"/>
      <c r="Q42" s="57"/>
      <c r="R42" s="57"/>
      <c r="S42" s="57"/>
      <c r="T42" s="51"/>
      <c r="U42" s="65"/>
      <c r="V42" s="56"/>
      <c r="W42" s="57"/>
      <c r="X42" s="57"/>
      <c r="Y42" s="57"/>
      <c r="Z42" s="57"/>
      <c r="AA42" s="57"/>
      <c r="AB42" s="57"/>
      <c r="AC42" s="51"/>
      <c r="AD42" s="65"/>
      <c r="AE42" s="56"/>
      <c r="AF42" s="57"/>
      <c r="AG42" s="57"/>
      <c r="AH42" s="57"/>
      <c r="AI42" s="57"/>
      <c r="AJ42" s="57"/>
      <c r="AK42" s="57"/>
      <c r="AL42" s="51"/>
      <c r="AM42" s="65"/>
      <c r="AN42" s="56"/>
      <c r="AO42" s="57"/>
      <c r="AP42" s="57"/>
      <c r="AQ42" s="57"/>
      <c r="AR42" s="57"/>
      <c r="AS42" s="57"/>
      <c r="AT42" s="57"/>
      <c r="AU42" s="51"/>
      <c r="AV42" s="65"/>
      <c r="AW42" s="56"/>
      <c r="AX42" s="55"/>
      <c r="AY42" s="55"/>
      <c r="AZ42" s="55"/>
      <c r="BA42" s="55"/>
      <c r="BB42" s="55"/>
      <c r="BC42" s="55"/>
      <c r="BD42" s="51"/>
      <c r="BE42" s="65"/>
      <c r="BF42" s="55"/>
      <c r="BG42" s="55"/>
      <c r="BH42" s="55"/>
      <c r="BI42" s="55"/>
      <c r="BJ42" s="55"/>
      <c r="BK42" s="55"/>
      <c r="BL42" s="55"/>
      <c r="BM42" s="66"/>
    </row>
    <row r="43" spans="1:65">
      <c r="A43" s="12" t="str">
        <f>Roster!A43</f>
        <v/>
      </c>
      <c r="B43" s="28">
        <f>Roster!C43</f>
        <v>0</v>
      </c>
      <c r="C43" s="55"/>
      <c r="D43" s="56"/>
      <c r="E43" s="57"/>
      <c r="F43" s="57"/>
      <c r="G43" s="57"/>
      <c r="H43" s="57"/>
      <c r="I43" s="57"/>
      <c r="J43" s="57"/>
      <c r="K43" s="51"/>
      <c r="L43" s="58"/>
      <c r="M43" s="56"/>
      <c r="N43" s="57"/>
      <c r="O43" s="57"/>
      <c r="P43" s="57"/>
      <c r="Q43" s="57"/>
      <c r="R43" s="57"/>
      <c r="S43" s="57"/>
      <c r="T43" s="51"/>
      <c r="U43" s="65"/>
      <c r="V43" s="56"/>
      <c r="W43" s="57"/>
      <c r="X43" s="57"/>
      <c r="Y43" s="57"/>
      <c r="Z43" s="57"/>
      <c r="AA43" s="57"/>
      <c r="AB43" s="57"/>
      <c r="AC43" s="51"/>
      <c r="AD43" s="65"/>
      <c r="AE43" s="56"/>
      <c r="AF43" s="57"/>
      <c r="AG43" s="57"/>
      <c r="AH43" s="57"/>
      <c r="AI43" s="57"/>
      <c r="AJ43" s="57"/>
      <c r="AK43" s="57"/>
      <c r="AL43" s="51"/>
      <c r="AM43" s="65"/>
      <c r="AN43" s="56"/>
      <c r="AO43" s="57"/>
      <c r="AP43" s="57"/>
      <c r="AQ43" s="57"/>
      <c r="AR43" s="57"/>
      <c r="AS43" s="57"/>
      <c r="AT43" s="57"/>
      <c r="AU43" s="51"/>
      <c r="AV43" s="65"/>
      <c r="AW43" s="56"/>
      <c r="AX43" s="55"/>
      <c r="AY43" s="55"/>
      <c r="AZ43" s="55"/>
      <c r="BA43" s="55"/>
      <c r="BB43" s="55"/>
      <c r="BC43" s="55"/>
      <c r="BD43" s="51"/>
      <c r="BE43" s="65"/>
      <c r="BF43" s="55"/>
      <c r="BG43" s="55"/>
      <c r="BH43" s="55"/>
      <c r="BI43" s="55"/>
      <c r="BJ43" s="55"/>
      <c r="BK43" s="55"/>
      <c r="BL43" s="55"/>
      <c r="BM43" s="66"/>
    </row>
    <row r="44" spans="1:65">
      <c r="A44" s="12" t="str">
        <f>Roster!A44</f>
        <v/>
      </c>
      <c r="B44" s="28">
        <f>Roster!C44</f>
        <v>0</v>
      </c>
      <c r="C44" s="55"/>
      <c r="D44" s="56"/>
      <c r="E44" s="57"/>
      <c r="F44" s="57"/>
      <c r="G44" s="57"/>
      <c r="H44" s="57"/>
      <c r="I44" s="57"/>
      <c r="J44" s="57"/>
      <c r="K44" s="51"/>
      <c r="L44" s="58"/>
      <c r="M44" s="56"/>
      <c r="N44" s="57"/>
      <c r="O44" s="57"/>
      <c r="P44" s="57"/>
      <c r="Q44" s="57"/>
      <c r="R44" s="57"/>
      <c r="S44" s="57"/>
      <c r="T44" s="51"/>
      <c r="U44" s="65"/>
      <c r="V44" s="56"/>
      <c r="W44" s="57"/>
      <c r="X44" s="57"/>
      <c r="Y44" s="57"/>
      <c r="Z44" s="57"/>
      <c r="AA44" s="57"/>
      <c r="AB44" s="57"/>
      <c r="AC44" s="51"/>
      <c r="AD44" s="65"/>
      <c r="AE44" s="56"/>
      <c r="AF44" s="57"/>
      <c r="AG44" s="57"/>
      <c r="AH44" s="57"/>
      <c r="AI44" s="57"/>
      <c r="AJ44" s="57"/>
      <c r="AK44" s="57"/>
      <c r="AL44" s="51"/>
      <c r="AM44" s="65"/>
      <c r="AN44" s="56"/>
      <c r="AO44" s="57"/>
      <c r="AP44" s="57"/>
      <c r="AQ44" s="57"/>
      <c r="AR44" s="57"/>
      <c r="AS44" s="57"/>
      <c r="AT44" s="57"/>
      <c r="AU44" s="51"/>
      <c r="AV44" s="65"/>
      <c r="AW44" s="56"/>
      <c r="AX44" s="55"/>
      <c r="AY44" s="55"/>
      <c r="AZ44" s="55"/>
      <c r="BA44" s="55"/>
      <c r="BB44" s="55"/>
      <c r="BC44" s="55"/>
      <c r="BD44" s="51"/>
      <c r="BE44" s="65"/>
      <c r="BF44" s="55"/>
      <c r="BG44" s="55"/>
      <c r="BH44" s="55"/>
      <c r="BI44" s="55"/>
      <c r="BJ44" s="55"/>
      <c r="BK44" s="55"/>
      <c r="BL44" s="55"/>
      <c r="BM44" s="66"/>
    </row>
    <row r="45" spans="1:65">
      <c r="A45" s="12" t="str">
        <f>Roster!A45</f>
        <v/>
      </c>
      <c r="B45" s="28">
        <f>Roster!C45</f>
        <v>0</v>
      </c>
      <c r="C45" s="55"/>
      <c r="D45" s="56"/>
      <c r="E45" s="57"/>
      <c r="F45" s="57"/>
      <c r="G45" s="57"/>
      <c r="H45" s="57"/>
      <c r="I45" s="57"/>
      <c r="J45" s="57"/>
      <c r="K45" s="51"/>
      <c r="L45" s="58"/>
      <c r="M45" s="56"/>
      <c r="N45" s="57"/>
      <c r="O45" s="57"/>
      <c r="P45" s="57"/>
      <c r="Q45" s="57"/>
      <c r="R45" s="57"/>
      <c r="S45" s="57"/>
      <c r="T45" s="51"/>
      <c r="U45" s="65"/>
      <c r="V45" s="56"/>
      <c r="W45" s="57"/>
      <c r="X45" s="57"/>
      <c r="Y45" s="57"/>
      <c r="Z45" s="57"/>
      <c r="AA45" s="57"/>
      <c r="AB45" s="57"/>
      <c r="AC45" s="51"/>
      <c r="AD45" s="65"/>
      <c r="AE45" s="56"/>
      <c r="AF45" s="57"/>
      <c r="AG45" s="57"/>
      <c r="AH45" s="57"/>
      <c r="AI45" s="57"/>
      <c r="AJ45" s="57"/>
      <c r="AK45" s="57"/>
      <c r="AL45" s="51"/>
      <c r="AM45" s="65"/>
      <c r="AN45" s="56"/>
      <c r="AO45" s="57"/>
      <c r="AP45" s="57"/>
      <c r="AQ45" s="57"/>
      <c r="AR45" s="57"/>
      <c r="AS45" s="57"/>
      <c r="AT45" s="57"/>
      <c r="AU45" s="51"/>
      <c r="AV45" s="65"/>
      <c r="AW45" s="56"/>
      <c r="AX45" s="55"/>
      <c r="AY45" s="55"/>
      <c r="AZ45" s="55"/>
      <c r="BA45" s="55"/>
      <c r="BB45" s="55"/>
      <c r="BC45" s="55"/>
      <c r="BD45" s="51"/>
      <c r="BE45" s="65"/>
      <c r="BF45" s="55"/>
      <c r="BG45" s="55"/>
      <c r="BH45" s="55"/>
      <c r="BI45" s="55"/>
      <c r="BJ45" s="55"/>
      <c r="BK45" s="55"/>
      <c r="BL45" s="55"/>
      <c r="BM45" s="66"/>
    </row>
    <row r="46" spans="1:65">
      <c r="A46" s="12" t="str">
        <f>Roster!A46</f>
        <v/>
      </c>
      <c r="B46" s="28">
        <f>Roster!C46</f>
        <v>0</v>
      </c>
      <c r="C46" s="55"/>
      <c r="D46" s="56"/>
      <c r="E46" s="57"/>
      <c r="F46" s="57"/>
      <c r="G46" s="57"/>
      <c r="H46" s="57"/>
      <c r="I46" s="57"/>
      <c r="J46" s="57"/>
      <c r="K46" s="51"/>
      <c r="L46" s="58"/>
      <c r="M46" s="56"/>
      <c r="N46" s="57"/>
      <c r="O46" s="57"/>
      <c r="P46" s="57"/>
      <c r="Q46" s="57"/>
      <c r="R46" s="57"/>
      <c r="S46" s="57"/>
      <c r="T46" s="51"/>
      <c r="U46" s="65"/>
      <c r="V46" s="56"/>
      <c r="W46" s="57"/>
      <c r="X46" s="57"/>
      <c r="Y46" s="57"/>
      <c r="Z46" s="57"/>
      <c r="AA46" s="57"/>
      <c r="AB46" s="57"/>
      <c r="AC46" s="51"/>
      <c r="AD46" s="65"/>
      <c r="AE46" s="56"/>
      <c r="AF46" s="57"/>
      <c r="AG46" s="57"/>
      <c r="AH46" s="57"/>
      <c r="AI46" s="57"/>
      <c r="AJ46" s="57"/>
      <c r="AK46" s="57"/>
      <c r="AL46" s="51"/>
      <c r="AM46" s="65"/>
      <c r="AN46" s="56"/>
      <c r="AO46" s="57"/>
      <c r="AP46" s="57"/>
      <c r="AQ46" s="57"/>
      <c r="AR46" s="57"/>
      <c r="AS46" s="57"/>
      <c r="AT46" s="57"/>
      <c r="AU46" s="51"/>
      <c r="AV46" s="65"/>
      <c r="AW46" s="56"/>
      <c r="AX46" s="55"/>
      <c r="AY46" s="55"/>
      <c r="AZ46" s="55"/>
      <c r="BA46" s="55"/>
      <c r="BB46" s="55"/>
      <c r="BC46" s="55"/>
      <c r="BD46" s="51"/>
      <c r="BE46" s="65"/>
      <c r="BF46" s="55"/>
      <c r="BG46" s="55"/>
      <c r="BH46" s="55"/>
      <c r="BI46" s="55"/>
      <c r="BJ46" s="55"/>
      <c r="BK46" s="55"/>
      <c r="BL46" s="55"/>
      <c r="BM46" s="66"/>
    </row>
    <row r="47" spans="1:65">
      <c r="A47" s="12" t="str">
        <f>Roster!A47</f>
        <v/>
      </c>
      <c r="B47" s="28">
        <f>Roster!C47</f>
        <v>0</v>
      </c>
      <c r="C47" s="55"/>
      <c r="D47" s="56"/>
      <c r="E47" s="57"/>
      <c r="F47" s="57"/>
      <c r="G47" s="57"/>
      <c r="H47" s="57"/>
      <c r="I47" s="57"/>
      <c r="J47" s="57"/>
      <c r="K47" s="51"/>
      <c r="L47" s="58"/>
      <c r="M47" s="56"/>
      <c r="N47" s="57"/>
      <c r="O47" s="57"/>
      <c r="P47" s="57"/>
      <c r="Q47" s="57"/>
      <c r="R47" s="57"/>
      <c r="S47" s="57"/>
      <c r="T47" s="51"/>
      <c r="U47" s="65"/>
      <c r="V47" s="56"/>
      <c r="W47" s="57"/>
      <c r="X47" s="57"/>
      <c r="Y47" s="57"/>
      <c r="Z47" s="57"/>
      <c r="AA47" s="57"/>
      <c r="AB47" s="57"/>
      <c r="AC47" s="51"/>
      <c r="AD47" s="65"/>
      <c r="AE47" s="56"/>
      <c r="AF47" s="57"/>
      <c r="AG47" s="57"/>
      <c r="AH47" s="57"/>
      <c r="AI47" s="57"/>
      <c r="AJ47" s="57"/>
      <c r="AK47" s="57"/>
      <c r="AL47" s="51"/>
      <c r="AM47" s="65"/>
      <c r="AN47" s="56"/>
      <c r="AO47" s="57"/>
      <c r="AP47" s="57"/>
      <c r="AQ47" s="57"/>
      <c r="AR47" s="57"/>
      <c r="AS47" s="57"/>
      <c r="AT47" s="57"/>
      <c r="AU47" s="51"/>
      <c r="AV47" s="65"/>
      <c r="AW47" s="56"/>
      <c r="AX47" s="55"/>
      <c r="AY47" s="55"/>
      <c r="AZ47" s="55"/>
      <c r="BA47" s="55"/>
      <c r="BB47" s="55"/>
      <c r="BC47" s="55"/>
      <c r="BD47" s="51"/>
      <c r="BE47" s="65"/>
      <c r="BF47" s="55"/>
      <c r="BG47" s="55"/>
      <c r="BH47" s="55"/>
      <c r="BI47" s="55"/>
      <c r="BJ47" s="55"/>
      <c r="BK47" s="55"/>
      <c r="BL47" s="55"/>
      <c r="BM47" s="66"/>
    </row>
    <row r="48" spans="1:65">
      <c r="A48" s="12" t="str">
        <f>Roster!A48</f>
        <v/>
      </c>
      <c r="B48" s="28">
        <f>Roster!C48</f>
        <v>0</v>
      </c>
      <c r="C48" s="55"/>
      <c r="D48" s="56"/>
      <c r="E48" s="57"/>
      <c r="F48" s="57"/>
      <c r="G48" s="57"/>
      <c r="H48" s="57"/>
      <c r="I48" s="57"/>
      <c r="J48" s="57"/>
      <c r="K48" s="51"/>
      <c r="L48" s="58"/>
      <c r="M48" s="56"/>
      <c r="N48" s="57"/>
      <c r="O48" s="57"/>
      <c r="P48" s="57"/>
      <c r="Q48" s="57"/>
      <c r="R48" s="57"/>
      <c r="S48" s="57"/>
      <c r="T48" s="51"/>
      <c r="U48" s="65"/>
      <c r="V48" s="56"/>
      <c r="W48" s="57"/>
      <c r="X48" s="57"/>
      <c r="Y48" s="57"/>
      <c r="Z48" s="57"/>
      <c r="AA48" s="57"/>
      <c r="AB48" s="57"/>
      <c r="AC48" s="51"/>
      <c r="AD48" s="65"/>
      <c r="AE48" s="56"/>
      <c r="AF48" s="57"/>
      <c r="AG48" s="57"/>
      <c r="AH48" s="57"/>
      <c r="AI48" s="57"/>
      <c r="AJ48" s="57"/>
      <c r="AK48" s="57"/>
      <c r="AL48" s="51"/>
      <c r="AM48" s="65"/>
      <c r="AN48" s="56"/>
      <c r="AO48" s="57"/>
      <c r="AP48" s="57"/>
      <c r="AQ48" s="57"/>
      <c r="AR48" s="57"/>
      <c r="AS48" s="57"/>
      <c r="AT48" s="57"/>
      <c r="AU48" s="51"/>
      <c r="AV48" s="65"/>
      <c r="AW48" s="56"/>
      <c r="AX48" s="55"/>
      <c r="AY48" s="55"/>
      <c r="AZ48" s="55"/>
      <c r="BA48" s="55"/>
      <c r="BB48" s="55"/>
      <c r="BC48" s="55"/>
      <c r="BD48" s="51"/>
      <c r="BE48" s="65"/>
      <c r="BF48" s="55"/>
      <c r="BG48" s="55"/>
      <c r="BH48" s="55"/>
      <c r="BI48" s="55"/>
      <c r="BJ48" s="55"/>
      <c r="BK48" s="55"/>
      <c r="BL48" s="55"/>
      <c r="BM48" s="66"/>
    </row>
    <row r="49" spans="1:65">
      <c r="A49" s="12" t="str">
        <f>Roster!A49</f>
        <v/>
      </c>
      <c r="B49" s="28">
        <f>Roster!C49</f>
        <v>0</v>
      </c>
      <c r="C49" s="55"/>
      <c r="D49" s="56"/>
      <c r="E49" s="57"/>
      <c r="F49" s="57"/>
      <c r="G49" s="57"/>
      <c r="H49" s="57"/>
      <c r="I49" s="57"/>
      <c r="J49" s="57"/>
      <c r="K49" s="51"/>
      <c r="L49" s="58"/>
      <c r="M49" s="56"/>
      <c r="N49" s="57"/>
      <c r="O49" s="57"/>
      <c r="P49" s="57"/>
      <c r="Q49" s="57"/>
      <c r="R49" s="57"/>
      <c r="S49" s="57"/>
      <c r="T49" s="51"/>
      <c r="U49" s="65"/>
      <c r="V49" s="56"/>
      <c r="W49" s="57"/>
      <c r="X49" s="57"/>
      <c r="Y49" s="57"/>
      <c r="Z49" s="57"/>
      <c r="AA49" s="57"/>
      <c r="AB49" s="57"/>
      <c r="AC49" s="51"/>
      <c r="AD49" s="65"/>
      <c r="AE49" s="56"/>
      <c r="AF49" s="57"/>
      <c r="AG49" s="57"/>
      <c r="AH49" s="57"/>
      <c r="AI49" s="57"/>
      <c r="AJ49" s="57"/>
      <c r="AK49" s="57"/>
      <c r="AL49" s="51"/>
      <c r="AM49" s="65"/>
      <c r="AN49" s="56"/>
      <c r="AO49" s="57"/>
      <c r="AP49" s="57"/>
      <c r="AQ49" s="57"/>
      <c r="AR49" s="57"/>
      <c r="AS49" s="57"/>
      <c r="AT49" s="57"/>
      <c r="AU49" s="51"/>
      <c r="AV49" s="65"/>
      <c r="AW49" s="56"/>
      <c r="AX49" s="55"/>
      <c r="AY49" s="55"/>
      <c r="AZ49" s="55"/>
      <c r="BA49" s="55"/>
      <c r="BB49" s="55"/>
      <c r="BC49" s="55"/>
      <c r="BD49" s="51"/>
      <c r="BE49" s="65"/>
      <c r="BF49" s="55"/>
      <c r="BG49" s="55"/>
      <c r="BH49" s="55"/>
      <c r="BI49" s="55"/>
      <c r="BJ49" s="55"/>
      <c r="BK49" s="55"/>
      <c r="BL49" s="55"/>
      <c r="BM49" s="66"/>
    </row>
    <row r="50" spans="1:65">
      <c r="A50" s="12" t="str">
        <f>Roster!A50</f>
        <v/>
      </c>
      <c r="B50" s="28">
        <f>Roster!C50</f>
        <v>0</v>
      </c>
      <c r="C50" s="55"/>
      <c r="D50" s="56"/>
      <c r="E50" s="57"/>
      <c r="F50" s="57"/>
      <c r="G50" s="57"/>
      <c r="H50" s="57"/>
      <c r="I50" s="57"/>
      <c r="J50" s="57"/>
      <c r="K50" s="51"/>
      <c r="L50" s="58"/>
      <c r="M50" s="56"/>
      <c r="N50" s="57"/>
      <c r="O50" s="57"/>
      <c r="P50" s="57"/>
      <c r="Q50" s="57"/>
      <c r="R50" s="57"/>
      <c r="S50" s="57"/>
      <c r="T50" s="51"/>
      <c r="U50" s="65"/>
      <c r="V50" s="56"/>
      <c r="W50" s="57"/>
      <c r="X50" s="57"/>
      <c r="Y50" s="57"/>
      <c r="Z50" s="57"/>
      <c r="AA50" s="57"/>
      <c r="AB50" s="57"/>
      <c r="AC50" s="51"/>
      <c r="AD50" s="65"/>
      <c r="AE50" s="56"/>
      <c r="AF50" s="57"/>
      <c r="AG50" s="57"/>
      <c r="AH50" s="57"/>
      <c r="AI50" s="57"/>
      <c r="AJ50" s="57"/>
      <c r="AK50" s="57"/>
      <c r="AL50" s="51"/>
      <c r="AM50" s="65"/>
      <c r="AN50" s="56"/>
      <c r="AO50" s="57"/>
      <c r="AP50" s="57"/>
      <c r="AQ50" s="57"/>
      <c r="AR50" s="57"/>
      <c r="AS50" s="57"/>
      <c r="AT50" s="57"/>
      <c r="AU50" s="51"/>
      <c r="AV50" s="65"/>
      <c r="AW50" s="56"/>
      <c r="AX50" s="55"/>
      <c r="AY50" s="55"/>
      <c r="AZ50" s="55"/>
      <c r="BA50" s="55"/>
      <c r="BB50" s="55"/>
      <c r="BC50" s="55"/>
      <c r="BD50" s="51"/>
      <c r="BE50" s="65"/>
      <c r="BF50" s="55"/>
      <c r="BG50" s="55"/>
      <c r="BH50" s="55"/>
      <c r="BI50" s="55"/>
      <c r="BJ50" s="55"/>
      <c r="BK50" s="55"/>
      <c r="BL50" s="55"/>
      <c r="BM50" s="66"/>
    </row>
    <row r="51" spans="1:65">
      <c r="A51" s="12" t="str">
        <f>Roster!A51</f>
        <v/>
      </c>
      <c r="B51" s="28">
        <f>Roster!C51</f>
        <v>0</v>
      </c>
      <c r="C51" s="55"/>
      <c r="D51" s="56"/>
      <c r="E51" s="57"/>
      <c r="F51" s="57"/>
      <c r="G51" s="57"/>
      <c r="H51" s="57"/>
      <c r="I51" s="57"/>
      <c r="J51" s="57"/>
      <c r="K51" s="51"/>
      <c r="L51" s="58"/>
      <c r="M51" s="56"/>
      <c r="N51" s="57"/>
      <c r="O51" s="57"/>
      <c r="P51" s="57"/>
      <c r="Q51" s="57"/>
      <c r="R51" s="57"/>
      <c r="S51" s="57"/>
      <c r="T51" s="51"/>
      <c r="U51" s="65"/>
      <c r="V51" s="56"/>
      <c r="W51" s="57"/>
      <c r="X51" s="57"/>
      <c r="Y51" s="57"/>
      <c r="Z51" s="57"/>
      <c r="AA51" s="57"/>
      <c r="AB51" s="57"/>
      <c r="AC51" s="51"/>
      <c r="AD51" s="65"/>
      <c r="AE51" s="56"/>
      <c r="AF51" s="57"/>
      <c r="AG51" s="57"/>
      <c r="AH51" s="57"/>
      <c r="AI51" s="57"/>
      <c r="AJ51" s="57"/>
      <c r="AK51" s="57"/>
      <c r="AL51" s="51"/>
      <c r="AM51" s="65"/>
      <c r="AN51" s="56"/>
      <c r="AO51" s="57"/>
      <c r="AP51" s="57"/>
      <c r="AQ51" s="57"/>
      <c r="AR51" s="57"/>
      <c r="AS51" s="57"/>
      <c r="AT51" s="57"/>
      <c r="AU51" s="51"/>
      <c r="AV51" s="65"/>
      <c r="AW51" s="56"/>
      <c r="AX51" s="55"/>
      <c r="AY51" s="55"/>
      <c r="AZ51" s="55"/>
      <c r="BA51" s="55"/>
      <c r="BB51" s="55"/>
      <c r="BC51" s="55"/>
      <c r="BD51" s="51"/>
      <c r="BE51" s="65"/>
      <c r="BF51" s="55"/>
      <c r="BG51" s="55"/>
      <c r="BH51" s="55"/>
      <c r="BI51" s="55"/>
      <c r="BJ51" s="55"/>
      <c r="BK51" s="55"/>
      <c r="BL51" s="55"/>
      <c r="BM51" s="66"/>
    </row>
    <row r="52" spans="1:65">
      <c r="A52" s="12" t="str">
        <f>Roster!A52</f>
        <v/>
      </c>
      <c r="B52" s="28">
        <f>Roster!C52</f>
        <v>0</v>
      </c>
      <c r="C52" s="55"/>
      <c r="D52" s="56"/>
      <c r="E52" s="57"/>
      <c r="F52" s="57"/>
      <c r="G52" s="57"/>
      <c r="H52" s="57"/>
      <c r="I52" s="57"/>
      <c r="J52" s="57"/>
      <c r="K52" s="51"/>
      <c r="L52" s="58"/>
      <c r="M52" s="56"/>
      <c r="N52" s="57"/>
      <c r="O52" s="57"/>
      <c r="P52" s="57"/>
      <c r="Q52" s="57"/>
      <c r="R52" s="57"/>
      <c r="S52" s="57"/>
      <c r="T52" s="51"/>
      <c r="U52" s="65"/>
      <c r="V52" s="56"/>
      <c r="W52" s="57"/>
      <c r="X52" s="57"/>
      <c r="Y52" s="57"/>
      <c r="Z52" s="57"/>
      <c r="AA52" s="57"/>
      <c r="AB52" s="57"/>
      <c r="AC52" s="51"/>
      <c r="AD52" s="65"/>
      <c r="AE52" s="56"/>
      <c r="AF52" s="57"/>
      <c r="AG52" s="57"/>
      <c r="AH52" s="57"/>
      <c r="AI52" s="57"/>
      <c r="AJ52" s="57"/>
      <c r="AK52" s="57"/>
      <c r="AL52" s="51"/>
      <c r="AM52" s="65"/>
      <c r="AN52" s="56"/>
      <c r="AO52" s="57"/>
      <c r="AP52" s="57"/>
      <c r="AQ52" s="57"/>
      <c r="AR52" s="57"/>
      <c r="AS52" s="57"/>
      <c r="AT52" s="57"/>
      <c r="AU52" s="51"/>
      <c r="AV52" s="65"/>
      <c r="AW52" s="56"/>
      <c r="AX52" s="55"/>
      <c r="AY52" s="55"/>
      <c r="AZ52" s="55"/>
      <c r="BA52" s="55"/>
      <c r="BB52" s="55"/>
      <c r="BC52" s="55"/>
      <c r="BD52" s="51"/>
      <c r="BE52" s="65"/>
      <c r="BF52" s="55"/>
      <c r="BG52" s="55"/>
      <c r="BH52" s="55"/>
      <c r="BI52" s="55"/>
      <c r="BJ52" s="55"/>
      <c r="BK52" s="55"/>
      <c r="BL52" s="55"/>
      <c r="BM52" s="66"/>
    </row>
    <row r="53" spans="1:65">
      <c r="A53" s="12" t="str">
        <f>Roster!A53</f>
        <v/>
      </c>
      <c r="B53" s="28">
        <f>Roster!C53</f>
        <v>0</v>
      </c>
      <c r="C53" s="55"/>
      <c r="D53" s="56"/>
      <c r="E53" s="57"/>
      <c r="F53" s="57"/>
      <c r="G53" s="57"/>
      <c r="H53" s="57"/>
      <c r="I53" s="57"/>
      <c r="J53" s="57"/>
      <c r="K53" s="45"/>
      <c r="L53" s="58"/>
      <c r="M53" s="56"/>
      <c r="N53" s="57"/>
      <c r="O53" s="57"/>
      <c r="P53" s="57"/>
      <c r="Q53" s="57"/>
      <c r="R53" s="57"/>
      <c r="S53" s="57"/>
      <c r="T53" s="45"/>
      <c r="U53" s="65"/>
      <c r="V53" s="56"/>
      <c r="W53" s="57"/>
      <c r="X53" s="57"/>
      <c r="Y53" s="57"/>
      <c r="Z53" s="57"/>
      <c r="AA53" s="57"/>
      <c r="AB53" s="57"/>
      <c r="AC53" s="45"/>
      <c r="AD53" s="65"/>
      <c r="AE53" s="56"/>
      <c r="AF53" s="57"/>
      <c r="AG53" s="57"/>
      <c r="AH53" s="57"/>
      <c r="AI53" s="57"/>
      <c r="AJ53" s="57"/>
      <c r="AK53" s="57"/>
      <c r="AL53" s="45"/>
      <c r="AM53" s="65"/>
      <c r="AN53" s="56"/>
      <c r="AO53" s="57"/>
      <c r="AP53" s="57"/>
      <c r="AQ53" s="57"/>
      <c r="AR53" s="57"/>
      <c r="AS53" s="57"/>
      <c r="AT53" s="57"/>
      <c r="AU53" s="45"/>
      <c r="AV53" s="65"/>
      <c r="AW53" s="56"/>
      <c r="AX53" s="55"/>
      <c r="AY53" s="55"/>
      <c r="AZ53" s="55"/>
      <c r="BA53" s="55"/>
      <c r="BB53" s="55"/>
      <c r="BC53" s="55"/>
      <c r="BD53" s="45"/>
      <c r="BE53" s="65"/>
      <c r="BF53" s="55"/>
      <c r="BG53" s="55"/>
      <c r="BH53" s="55"/>
      <c r="BI53" s="55"/>
      <c r="BJ53" s="55"/>
      <c r="BK53" s="55"/>
      <c r="BL53" s="55"/>
      <c r="BM53" s="55"/>
    </row>
    <row r="54" spans="1:65">
      <c r="A54" s="12" t="str">
        <f>Roster!A54</f>
        <v/>
      </c>
      <c r="B54" s="28">
        <f>Roster!C54</f>
        <v>0</v>
      </c>
      <c r="C54" s="55"/>
      <c r="D54" s="56"/>
      <c r="E54" s="57"/>
      <c r="F54" s="57"/>
      <c r="G54" s="57"/>
      <c r="H54" s="57"/>
      <c r="I54" s="57"/>
      <c r="J54" s="57"/>
      <c r="K54" s="45"/>
      <c r="L54" s="58"/>
      <c r="M54" s="56"/>
      <c r="N54" s="57"/>
      <c r="O54" s="57"/>
      <c r="P54" s="57"/>
      <c r="Q54" s="57"/>
      <c r="R54" s="57"/>
      <c r="S54" s="57"/>
      <c r="T54" s="45"/>
      <c r="U54" s="65"/>
      <c r="V54" s="56"/>
      <c r="W54" s="57"/>
      <c r="X54" s="57"/>
      <c r="Y54" s="57"/>
      <c r="Z54" s="57"/>
      <c r="AA54" s="57"/>
      <c r="AB54" s="57"/>
      <c r="AC54" s="45"/>
      <c r="AD54" s="65"/>
      <c r="AE54" s="56"/>
      <c r="AF54" s="57"/>
      <c r="AG54" s="57"/>
      <c r="AH54" s="57"/>
      <c r="AI54" s="57"/>
      <c r="AJ54" s="57"/>
      <c r="AK54" s="57"/>
      <c r="AL54" s="45"/>
      <c r="AM54" s="65"/>
      <c r="AN54" s="56"/>
      <c r="AO54" s="57"/>
      <c r="AP54" s="57"/>
      <c r="AQ54" s="57"/>
      <c r="AR54" s="57"/>
      <c r="AS54" s="57"/>
      <c r="AT54" s="57"/>
      <c r="AU54" s="45"/>
      <c r="AV54" s="65"/>
      <c r="AW54" s="56"/>
      <c r="AX54" s="55"/>
      <c r="AY54" s="55"/>
      <c r="AZ54" s="55"/>
      <c r="BA54" s="55"/>
      <c r="BB54" s="55"/>
      <c r="BC54" s="55"/>
      <c r="BD54" s="45"/>
      <c r="BE54" s="65"/>
      <c r="BF54" s="55"/>
      <c r="BG54" s="55"/>
      <c r="BH54" s="55"/>
      <c r="BI54" s="55"/>
      <c r="BJ54" s="55"/>
      <c r="BK54" s="55"/>
      <c r="BL54" s="55"/>
      <c r="BM54" s="55"/>
    </row>
    <row r="55" spans="1:65">
      <c r="A55" s="12" t="str">
        <f>Roster!A55</f>
        <v/>
      </c>
      <c r="B55" s="28">
        <f>Roster!C55</f>
        <v>0</v>
      </c>
      <c r="C55" s="55"/>
      <c r="D55" s="56"/>
      <c r="E55" s="57"/>
      <c r="F55" s="57"/>
      <c r="G55" s="57"/>
      <c r="H55" s="57"/>
      <c r="I55" s="57"/>
      <c r="J55" s="57"/>
      <c r="K55" s="45"/>
      <c r="L55" s="58"/>
      <c r="M55" s="56"/>
      <c r="N55" s="57"/>
      <c r="O55" s="57"/>
      <c r="P55" s="57"/>
      <c r="Q55" s="57"/>
      <c r="R55" s="57"/>
      <c r="S55" s="57"/>
      <c r="T55" s="45"/>
      <c r="U55" s="65"/>
      <c r="V55" s="56"/>
      <c r="W55" s="57"/>
      <c r="X55" s="57"/>
      <c r="Y55" s="57"/>
      <c r="Z55" s="57"/>
      <c r="AA55" s="57"/>
      <c r="AB55" s="57"/>
      <c r="AC55" s="45"/>
      <c r="AD55" s="65"/>
      <c r="AE55" s="56"/>
      <c r="AF55" s="57"/>
      <c r="AG55" s="57"/>
      <c r="AH55" s="57"/>
      <c r="AI55" s="57"/>
      <c r="AJ55" s="57"/>
      <c r="AK55" s="57"/>
      <c r="AL55" s="45"/>
      <c r="AM55" s="65"/>
      <c r="AN55" s="56"/>
      <c r="AO55" s="57"/>
      <c r="AP55" s="57"/>
      <c r="AQ55" s="57"/>
      <c r="AR55" s="57"/>
      <c r="AS55" s="57"/>
      <c r="AT55" s="57"/>
      <c r="AU55" s="45"/>
      <c r="AV55" s="65"/>
      <c r="AW55" s="56"/>
      <c r="AX55" s="55"/>
      <c r="AY55" s="55"/>
      <c r="AZ55" s="55"/>
      <c r="BA55" s="55"/>
      <c r="BB55" s="55"/>
      <c r="BC55" s="55"/>
      <c r="BD55" s="45"/>
      <c r="BE55" s="65"/>
      <c r="BF55" s="55"/>
      <c r="BG55" s="55"/>
      <c r="BH55" s="55"/>
      <c r="BI55" s="55"/>
      <c r="BJ55" s="55"/>
      <c r="BK55" s="55"/>
      <c r="BL55" s="55"/>
      <c r="BM55" s="55"/>
    </row>
    <row r="56" spans="1:65">
      <c r="A56" s="12" t="str">
        <f>Roster!A56</f>
        <v/>
      </c>
      <c r="B56" s="28">
        <f>Roster!C56</f>
        <v>0</v>
      </c>
      <c r="C56" s="55"/>
      <c r="D56" s="56"/>
      <c r="E56" s="57"/>
      <c r="F56" s="57"/>
      <c r="G56" s="57"/>
      <c r="H56" s="57"/>
      <c r="I56" s="57"/>
      <c r="J56" s="57"/>
      <c r="K56" s="45"/>
      <c r="L56" s="58"/>
      <c r="M56" s="56"/>
      <c r="N56" s="57"/>
      <c r="O56" s="57"/>
      <c r="P56" s="57"/>
      <c r="Q56" s="57"/>
      <c r="R56" s="57"/>
      <c r="S56" s="57"/>
      <c r="T56" s="45"/>
      <c r="U56" s="65"/>
      <c r="V56" s="56"/>
      <c r="W56" s="57"/>
      <c r="X56" s="57"/>
      <c r="Y56" s="57"/>
      <c r="Z56" s="57"/>
      <c r="AA56" s="57"/>
      <c r="AB56" s="57"/>
      <c r="AC56" s="45"/>
      <c r="AD56" s="65"/>
      <c r="AE56" s="56"/>
      <c r="AF56" s="57"/>
      <c r="AG56" s="57"/>
      <c r="AH56" s="57"/>
      <c r="AI56" s="57"/>
      <c r="AJ56" s="57"/>
      <c r="AK56" s="57"/>
      <c r="AL56" s="45"/>
      <c r="AM56" s="65"/>
      <c r="AN56" s="56"/>
      <c r="AO56" s="57"/>
      <c r="AP56" s="57"/>
      <c r="AQ56" s="57"/>
      <c r="AR56" s="57"/>
      <c r="AS56" s="57"/>
      <c r="AT56" s="57"/>
      <c r="AU56" s="45"/>
      <c r="AV56" s="65"/>
      <c r="AW56" s="56"/>
      <c r="AX56" s="55"/>
      <c r="AY56" s="55"/>
      <c r="AZ56" s="55"/>
      <c r="BA56" s="55"/>
      <c r="BB56" s="55"/>
      <c r="BC56" s="55"/>
      <c r="BD56" s="45"/>
      <c r="BE56" s="65"/>
      <c r="BF56" s="55"/>
      <c r="BG56" s="55"/>
      <c r="BH56" s="55"/>
      <c r="BI56" s="55"/>
      <c r="BJ56" s="55"/>
      <c r="BK56" s="55"/>
      <c r="BL56" s="55"/>
      <c r="BM56" s="55"/>
    </row>
    <row r="57" spans="1:65">
      <c r="A57" s="12" t="str">
        <f>Roster!A57</f>
        <v/>
      </c>
      <c r="B57" s="28">
        <f>Roster!C57</f>
        <v>0</v>
      </c>
      <c r="C57" s="55"/>
      <c r="D57" s="56"/>
      <c r="E57" s="57"/>
      <c r="F57" s="57"/>
      <c r="G57" s="57"/>
      <c r="H57" s="57"/>
      <c r="I57" s="57"/>
      <c r="J57" s="57"/>
      <c r="K57" s="45"/>
      <c r="L57" s="58"/>
      <c r="M57" s="56"/>
      <c r="N57" s="57"/>
      <c r="O57" s="57"/>
      <c r="P57" s="57"/>
      <c r="Q57" s="57"/>
      <c r="R57" s="57"/>
      <c r="S57" s="57"/>
      <c r="T57" s="45"/>
      <c r="U57" s="65"/>
      <c r="V57" s="56"/>
      <c r="W57" s="57"/>
      <c r="X57" s="57"/>
      <c r="Y57" s="57"/>
      <c r="Z57" s="57"/>
      <c r="AA57" s="57"/>
      <c r="AB57" s="57"/>
      <c r="AC57" s="45"/>
      <c r="AD57" s="65"/>
      <c r="AE57" s="56"/>
      <c r="AF57" s="57"/>
      <c r="AG57" s="57"/>
      <c r="AH57" s="57"/>
      <c r="AI57" s="57"/>
      <c r="AJ57" s="57"/>
      <c r="AK57" s="57"/>
      <c r="AL57" s="45"/>
      <c r="AM57" s="65"/>
      <c r="AN57" s="56"/>
      <c r="AO57" s="57"/>
      <c r="AP57" s="57"/>
      <c r="AQ57" s="57"/>
      <c r="AR57" s="57"/>
      <c r="AS57" s="57"/>
      <c r="AT57" s="57"/>
      <c r="AU57" s="45"/>
      <c r="AV57" s="65"/>
      <c r="AW57" s="56"/>
      <c r="AX57" s="55"/>
      <c r="AY57" s="55"/>
      <c r="AZ57" s="55"/>
      <c r="BA57" s="55"/>
      <c r="BB57" s="55"/>
      <c r="BC57" s="55"/>
      <c r="BD57" s="45"/>
      <c r="BE57" s="65"/>
      <c r="BF57" s="55"/>
      <c r="BG57" s="55"/>
      <c r="BH57" s="55"/>
      <c r="BI57" s="55"/>
      <c r="BJ57" s="55"/>
      <c r="BK57" s="55"/>
      <c r="BL57" s="55"/>
      <c r="BM57" s="55"/>
    </row>
    <row r="58" spans="1:65">
      <c r="A58" s="12" t="str">
        <f>Roster!A58</f>
        <v/>
      </c>
      <c r="B58" s="28">
        <f>Roster!C58</f>
        <v>0</v>
      </c>
      <c r="C58" s="55"/>
      <c r="D58" s="56"/>
      <c r="E58" s="57"/>
      <c r="F58" s="57"/>
      <c r="G58" s="57"/>
      <c r="H58" s="57"/>
      <c r="I58" s="57"/>
      <c r="J58" s="57"/>
      <c r="K58" s="45"/>
      <c r="L58" s="58"/>
      <c r="M58" s="56"/>
      <c r="N58" s="57"/>
      <c r="O58" s="57"/>
      <c r="P58" s="57"/>
      <c r="Q58" s="57"/>
      <c r="R58" s="57"/>
      <c r="S58" s="57"/>
      <c r="T58" s="45"/>
      <c r="U58" s="65"/>
      <c r="V58" s="56"/>
      <c r="W58" s="57"/>
      <c r="X58" s="57"/>
      <c r="Y58" s="57"/>
      <c r="Z58" s="57"/>
      <c r="AA58" s="57"/>
      <c r="AB58" s="57"/>
      <c r="AC58" s="45"/>
      <c r="AD58" s="65"/>
      <c r="AE58" s="56"/>
      <c r="AF58" s="57"/>
      <c r="AG58" s="57"/>
      <c r="AH58" s="57"/>
      <c r="AI58" s="57"/>
      <c r="AJ58" s="57"/>
      <c r="AK58" s="57"/>
      <c r="AL58" s="45"/>
      <c r="AM58" s="65"/>
      <c r="AN58" s="56"/>
      <c r="AO58" s="57"/>
      <c r="AP58" s="57"/>
      <c r="AQ58" s="57"/>
      <c r="AR58" s="57"/>
      <c r="AS58" s="57"/>
      <c r="AT58" s="57"/>
      <c r="AU58" s="45"/>
      <c r="AV58" s="65"/>
      <c r="AW58" s="56"/>
      <c r="AX58" s="55"/>
      <c r="AY58" s="55"/>
      <c r="AZ58" s="55"/>
      <c r="BA58" s="55"/>
      <c r="BB58" s="55"/>
      <c r="BC58" s="55"/>
      <c r="BD58" s="45"/>
      <c r="BE58" s="65"/>
      <c r="BF58" s="55"/>
      <c r="BG58" s="55"/>
      <c r="BH58" s="55"/>
      <c r="BI58" s="55"/>
      <c r="BJ58" s="55"/>
      <c r="BK58" s="55"/>
      <c r="BL58" s="55"/>
      <c r="BM58" s="55"/>
    </row>
    <row r="59" spans="1:65">
      <c r="A59" s="12" t="str">
        <f>Roster!A59</f>
        <v/>
      </c>
      <c r="B59" s="28">
        <f>Roster!C59</f>
        <v>0</v>
      </c>
      <c r="C59" s="55"/>
      <c r="D59" s="56"/>
      <c r="E59" s="57"/>
      <c r="F59" s="57"/>
      <c r="G59" s="57"/>
      <c r="H59" s="57"/>
      <c r="I59" s="57"/>
      <c r="J59" s="57"/>
      <c r="K59" s="45"/>
      <c r="L59" s="58"/>
      <c r="M59" s="56"/>
      <c r="N59" s="57"/>
      <c r="O59" s="57"/>
      <c r="P59" s="57"/>
      <c r="Q59" s="57"/>
      <c r="R59" s="57"/>
      <c r="S59" s="57"/>
      <c r="T59" s="45"/>
      <c r="U59" s="65"/>
      <c r="V59" s="56"/>
      <c r="W59" s="57"/>
      <c r="X59" s="57"/>
      <c r="Y59" s="57"/>
      <c r="Z59" s="57"/>
      <c r="AA59" s="57"/>
      <c r="AB59" s="57"/>
      <c r="AC59" s="45"/>
      <c r="AD59" s="65"/>
      <c r="AE59" s="56"/>
      <c r="AF59" s="57"/>
      <c r="AG59" s="57"/>
      <c r="AH59" s="57"/>
      <c r="AI59" s="57"/>
      <c r="AJ59" s="57"/>
      <c r="AK59" s="57"/>
      <c r="AL59" s="45"/>
      <c r="AM59" s="65"/>
      <c r="AN59" s="56"/>
      <c r="AO59" s="57"/>
      <c r="AP59" s="57"/>
      <c r="AQ59" s="57"/>
      <c r="AR59" s="57"/>
      <c r="AS59" s="57"/>
      <c r="AT59" s="57"/>
      <c r="AU59" s="45"/>
      <c r="AV59" s="65"/>
      <c r="AW59" s="56"/>
      <c r="AX59" s="55"/>
      <c r="AY59" s="55"/>
      <c r="AZ59" s="55"/>
      <c r="BA59" s="55"/>
      <c r="BB59" s="55"/>
      <c r="BC59" s="55"/>
      <c r="BD59" s="45"/>
      <c r="BE59" s="65"/>
      <c r="BF59" s="55"/>
      <c r="BG59" s="55"/>
      <c r="BH59" s="55"/>
      <c r="BI59" s="55"/>
      <c r="BJ59" s="55"/>
      <c r="BK59" s="55"/>
      <c r="BL59" s="55"/>
      <c r="BM59" s="55"/>
    </row>
    <row r="60" spans="1:65">
      <c r="A60" s="12" t="str">
        <f>Roster!A60</f>
        <v/>
      </c>
      <c r="B60" s="28">
        <f>Roster!C60</f>
        <v>0</v>
      </c>
      <c r="C60" s="55"/>
      <c r="D60" s="56"/>
      <c r="E60" s="57"/>
      <c r="F60" s="57"/>
      <c r="G60" s="57"/>
      <c r="H60" s="57"/>
      <c r="I60" s="57"/>
      <c r="J60" s="57"/>
      <c r="K60" s="45"/>
      <c r="L60" s="58"/>
      <c r="M60" s="56"/>
      <c r="N60" s="57"/>
      <c r="O60" s="57"/>
      <c r="P60" s="57"/>
      <c r="Q60" s="57"/>
      <c r="R60" s="57"/>
      <c r="S60" s="57"/>
      <c r="T60" s="45"/>
      <c r="U60" s="65"/>
      <c r="V60" s="56"/>
      <c r="W60" s="57"/>
      <c r="X60" s="57"/>
      <c r="Y60" s="57"/>
      <c r="Z60" s="57"/>
      <c r="AA60" s="57"/>
      <c r="AB60" s="57"/>
      <c r="AC60" s="45"/>
      <c r="AD60" s="65"/>
      <c r="AE60" s="56"/>
      <c r="AF60" s="57"/>
      <c r="AG60" s="57"/>
      <c r="AH60" s="57"/>
      <c r="AI60" s="57"/>
      <c r="AJ60" s="57"/>
      <c r="AK60" s="57"/>
      <c r="AL60" s="45"/>
      <c r="AM60" s="65"/>
      <c r="AN60" s="56"/>
      <c r="AO60" s="57"/>
      <c r="AP60" s="57"/>
      <c r="AQ60" s="57"/>
      <c r="AR60" s="57"/>
      <c r="AS60" s="57"/>
      <c r="AT60" s="57"/>
      <c r="AU60" s="45"/>
      <c r="AV60" s="65"/>
      <c r="AW60" s="56"/>
      <c r="AX60" s="55"/>
      <c r="AY60" s="55"/>
      <c r="AZ60" s="55"/>
      <c r="BA60" s="55"/>
      <c r="BB60" s="55"/>
      <c r="BC60" s="55"/>
      <c r="BD60" s="45"/>
      <c r="BE60" s="65"/>
      <c r="BF60" s="55"/>
      <c r="BG60" s="55"/>
      <c r="BH60" s="55"/>
      <c r="BI60" s="55"/>
      <c r="BJ60" s="55"/>
      <c r="BK60" s="55"/>
      <c r="BL60" s="55"/>
      <c r="BM60" s="55"/>
    </row>
    <row r="61" spans="1:65">
      <c r="A61" s="12" t="str">
        <f>Roster!A61</f>
        <v/>
      </c>
      <c r="B61" s="28">
        <f>Roster!C61</f>
        <v>0</v>
      </c>
      <c r="C61" s="55"/>
      <c r="D61" s="56"/>
      <c r="E61" s="57"/>
      <c r="F61" s="57"/>
      <c r="G61" s="57"/>
      <c r="H61" s="57"/>
      <c r="I61" s="57"/>
      <c r="J61" s="57"/>
      <c r="K61" s="45"/>
      <c r="L61" s="58"/>
      <c r="M61" s="56"/>
      <c r="N61" s="57"/>
      <c r="O61" s="57"/>
      <c r="P61" s="57"/>
      <c r="Q61" s="57"/>
      <c r="R61" s="57"/>
      <c r="S61" s="57"/>
      <c r="T61" s="45"/>
      <c r="U61" s="65"/>
      <c r="V61" s="56"/>
      <c r="W61" s="57"/>
      <c r="X61" s="57"/>
      <c r="Y61" s="57"/>
      <c r="Z61" s="57"/>
      <c r="AA61" s="57"/>
      <c r="AB61" s="57"/>
      <c r="AC61" s="45"/>
      <c r="AD61" s="65"/>
      <c r="AE61" s="56"/>
      <c r="AF61" s="57"/>
      <c r="AG61" s="57"/>
      <c r="AH61" s="57"/>
      <c r="AI61" s="57"/>
      <c r="AJ61" s="57"/>
      <c r="AK61" s="57"/>
      <c r="AL61" s="45"/>
      <c r="AM61" s="65"/>
      <c r="AN61" s="56"/>
      <c r="AO61" s="57"/>
      <c r="AP61" s="57"/>
      <c r="AQ61" s="57"/>
      <c r="AR61" s="57"/>
      <c r="AS61" s="57"/>
      <c r="AT61" s="57"/>
      <c r="AU61" s="45"/>
      <c r="AV61" s="65"/>
      <c r="AW61" s="56"/>
      <c r="AX61" s="55"/>
      <c r="AY61" s="55"/>
      <c r="AZ61" s="55"/>
      <c r="BA61" s="55"/>
      <c r="BB61" s="55"/>
      <c r="BC61" s="55"/>
      <c r="BD61" s="45"/>
      <c r="BE61" s="65"/>
      <c r="BF61" s="55"/>
      <c r="BG61" s="55"/>
      <c r="BH61" s="55"/>
      <c r="BI61" s="55"/>
      <c r="BJ61" s="55"/>
      <c r="BK61" s="55"/>
      <c r="BL61" s="55"/>
      <c r="BM61" s="55"/>
    </row>
    <row r="62" spans="1:65">
      <c r="A62" s="12" t="str">
        <f>Roster!A62</f>
        <v/>
      </c>
      <c r="B62" s="28">
        <f>Roster!C62</f>
        <v>0</v>
      </c>
      <c r="C62" s="55"/>
      <c r="D62" s="56"/>
      <c r="E62" s="57"/>
      <c r="F62" s="57"/>
      <c r="G62" s="57"/>
      <c r="H62" s="57"/>
      <c r="I62" s="57"/>
      <c r="J62" s="57"/>
      <c r="K62" s="45"/>
      <c r="L62" s="58"/>
      <c r="M62" s="56"/>
      <c r="N62" s="57"/>
      <c r="O62" s="57"/>
      <c r="P62" s="57"/>
      <c r="Q62" s="57"/>
      <c r="R62" s="57"/>
      <c r="S62" s="57"/>
      <c r="T62" s="45"/>
      <c r="U62" s="65"/>
      <c r="V62" s="56"/>
      <c r="W62" s="57"/>
      <c r="X62" s="57"/>
      <c r="Y62" s="57"/>
      <c r="Z62" s="57"/>
      <c r="AA62" s="57"/>
      <c r="AB62" s="57"/>
      <c r="AC62" s="45"/>
      <c r="AD62" s="65"/>
      <c r="AE62" s="56"/>
      <c r="AF62" s="57"/>
      <c r="AG62" s="57"/>
      <c r="AH62" s="57"/>
      <c r="AI62" s="57"/>
      <c r="AJ62" s="57"/>
      <c r="AK62" s="57"/>
      <c r="AL62" s="45"/>
      <c r="AM62" s="65"/>
      <c r="AN62" s="56"/>
      <c r="AO62" s="57"/>
      <c r="AP62" s="57"/>
      <c r="AQ62" s="57"/>
      <c r="AR62" s="57"/>
      <c r="AS62" s="57"/>
      <c r="AT62" s="57"/>
      <c r="AU62" s="45"/>
      <c r="AV62" s="65"/>
      <c r="AW62" s="56"/>
      <c r="AX62" s="55"/>
      <c r="AY62" s="55"/>
      <c r="AZ62" s="55"/>
      <c r="BA62" s="55"/>
      <c r="BB62" s="55"/>
      <c r="BC62" s="55"/>
      <c r="BD62" s="45"/>
      <c r="BE62" s="65"/>
      <c r="BF62" s="55"/>
      <c r="BG62" s="55"/>
      <c r="BH62" s="55"/>
      <c r="BI62" s="55"/>
      <c r="BJ62" s="55"/>
      <c r="BK62" s="55"/>
      <c r="BL62" s="55"/>
      <c r="BM62" s="55"/>
    </row>
    <row r="63" spans="1:65">
      <c r="A63" s="12" t="str">
        <f>Roster!A63</f>
        <v/>
      </c>
      <c r="B63" s="28">
        <f>Roster!C63</f>
        <v>0</v>
      </c>
      <c r="C63" s="55"/>
      <c r="D63" s="56"/>
      <c r="E63" s="57"/>
      <c r="F63" s="57"/>
      <c r="G63" s="57"/>
      <c r="H63" s="57"/>
      <c r="I63" s="57"/>
      <c r="J63" s="57"/>
      <c r="K63" s="45"/>
      <c r="L63" s="58"/>
      <c r="M63" s="56"/>
      <c r="N63" s="57"/>
      <c r="O63" s="57"/>
      <c r="P63" s="57"/>
      <c r="Q63" s="57"/>
      <c r="R63" s="57"/>
      <c r="S63" s="57"/>
      <c r="T63" s="45"/>
      <c r="U63" s="65"/>
      <c r="V63" s="56"/>
      <c r="W63" s="57"/>
      <c r="X63" s="57"/>
      <c r="Y63" s="57"/>
      <c r="Z63" s="57"/>
      <c r="AA63" s="57"/>
      <c r="AB63" s="57"/>
      <c r="AC63" s="45"/>
      <c r="AD63" s="65"/>
      <c r="AE63" s="56"/>
      <c r="AF63" s="57"/>
      <c r="AG63" s="57"/>
      <c r="AH63" s="57"/>
      <c r="AI63" s="57"/>
      <c r="AJ63" s="57"/>
      <c r="AK63" s="57"/>
      <c r="AL63" s="45"/>
      <c r="AM63" s="65"/>
      <c r="AN63" s="56"/>
      <c r="AO63" s="57"/>
      <c r="AP63" s="57"/>
      <c r="AQ63" s="57"/>
      <c r="AR63" s="57"/>
      <c r="AS63" s="57"/>
      <c r="AT63" s="57"/>
      <c r="AU63" s="45"/>
      <c r="AV63" s="65"/>
      <c r="AW63" s="56"/>
      <c r="AX63" s="55"/>
      <c r="AY63" s="55"/>
      <c r="AZ63" s="55"/>
      <c r="BA63" s="55"/>
      <c r="BB63" s="55"/>
      <c r="BC63" s="55"/>
      <c r="BD63" s="45"/>
      <c r="BE63" s="65"/>
      <c r="BF63" s="55"/>
      <c r="BG63" s="55"/>
      <c r="BH63" s="55"/>
      <c r="BI63" s="55"/>
      <c r="BJ63" s="55"/>
      <c r="BK63" s="55"/>
      <c r="BL63" s="55"/>
      <c r="BM63" s="55"/>
    </row>
    <row r="64" spans="1:65">
      <c r="A64" s="12" t="str">
        <f>Roster!A64</f>
        <v/>
      </c>
      <c r="B64" s="28">
        <f>Roster!C64</f>
        <v>0</v>
      </c>
      <c r="C64" s="55"/>
      <c r="D64" s="56"/>
      <c r="E64" s="57"/>
      <c r="F64" s="57"/>
      <c r="G64" s="57"/>
      <c r="H64" s="57"/>
      <c r="I64" s="57"/>
      <c r="J64" s="57"/>
      <c r="K64" s="45"/>
      <c r="L64" s="58"/>
      <c r="M64" s="56"/>
      <c r="N64" s="57"/>
      <c r="O64" s="57"/>
      <c r="P64" s="57"/>
      <c r="Q64" s="57"/>
      <c r="R64" s="57"/>
      <c r="S64" s="57"/>
      <c r="T64" s="45"/>
      <c r="U64" s="65"/>
      <c r="V64" s="56"/>
      <c r="W64" s="57"/>
      <c r="X64" s="57"/>
      <c r="Y64" s="57"/>
      <c r="Z64" s="57"/>
      <c r="AA64" s="57"/>
      <c r="AB64" s="57"/>
      <c r="AC64" s="45"/>
      <c r="AD64" s="65"/>
      <c r="AE64" s="56"/>
      <c r="AF64" s="57"/>
      <c r="AG64" s="57"/>
      <c r="AH64" s="57"/>
      <c r="AI64" s="57"/>
      <c r="AJ64" s="57"/>
      <c r="AK64" s="57"/>
      <c r="AL64" s="45"/>
      <c r="AM64" s="65"/>
      <c r="AN64" s="56"/>
      <c r="AO64" s="57"/>
      <c r="AP64" s="57"/>
      <c r="AQ64" s="57"/>
      <c r="AR64" s="57"/>
      <c r="AS64" s="57"/>
      <c r="AT64" s="57"/>
      <c r="AU64" s="45"/>
      <c r="AV64" s="65"/>
      <c r="AW64" s="56"/>
      <c r="AX64" s="55"/>
      <c r="AY64" s="55"/>
      <c r="AZ64" s="55"/>
      <c r="BA64" s="55"/>
      <c r="BB64" s="55"/>
      <c r="BC64" s="55"/>
      <c r="BD64" s="45"/>
      <c r="BE64" s="65"/>
      <c r="BF64" s="55"/>
      <c r="BG64" s="55"/>
      <c r="BH64" s="55"/>
      <c r="BI64" s="55"/>
      <c r="BJ64" s="55"/>
      <c r="BK64" s="55"/>
      <c r="BL64" s="55"/>
      <c r="BM64" s="55"/>
    </row>
    <row r="65" spans="1:65">
      <c r="A65" s="12" t="str">
        <f>Roster!A65</f>
        <v/>
      </c>
      <c r="B65" s="28">
        <f>Roster!C65</f>
        <v>0</v>
      </c>
      <c r="C65" s="55"/>
      <c r="D65" s="56"/>
      <c r="E65" s="57"/>
      <c r="F65" s="57"/>
      <c r="G65" s="57"/>
      <c r="H65" s="57"/>
      <c r="I65" s="57"/>
      <c r="J65" s="57"/>
      <c r="K65" s="45"/>
      <c r="L65" s="58"/>
      <c r="M65" s="56"/>
      <c r="N65" s="57"/>
      <c r="O65" s="57"/>
      <c r="P65" s="57"/>
      <c r="Q65" s="57"/>
      <c r="R65" s="57"/>
      <c r="S65" s="57"/>
      <c r="T65" s="45"/>
      <c r="U65" s="65"/>
      <c r="V65" s="56"/>
      <c r="W65" s="57"/>
      <c r="X65" s="57"/>
      <c r="Y65" s="57"/>
      <c r="Z65" s="57"/>
      <c r="AA65" s="57"/>
      <c r="AB65" s="57"/>
      <c r="AC65" s="45"/>
      <c r="AD65" s="65"/>
      <c r="AE65" s="56"/>
      <c r="AF65" s="57"/>
      <c r="AG65" s="57"/>
      <c r="AH65" s="57"/>
      <c r="AI65" s="57"/>
      <c r="AJ65" s="57"/>
      <c r="AK65" s="57"/>
      <c r="AL65" s="45"/>
      <c r="AM65" s="65"/>
      <c r="AN65" s="56"/>
      <c r="AO65" s="57"/>
      <c r="AP65" s="57"/>
      <c r="AQ65" s="57"/>
      <c r="AR65" s="57"/>
      <c r="AS65" s="57"/>
      <c r="AT65" s="57"/>
      <c r="AU65" s="45"/>
      <c r="AV65" s="65"/>
      <c r="AW65" s="56"/>
      <c r="AX65" s="55"/>
      <c r="AY65" s="55"/>
      <c r="AZ65" s="55"/>
      <c r="BA65" s="55"/>
      <c r="BB65" s="55"/>
      <c r="BC65" s="55"/>
      <c r="BD65" s="45"/>
      <c r="BE65" s="65"/>
      <c r="BF65" s="55"/>
      <c r="BG65" s="55"/>
      <c r="BH65" s="55"/>
      <c r="BI65" s="55"/>
      <c r="BJ65" s="55"/>
      <c r="BK65" s="55"/>
      <c r="BL65" s="55"/>
      <c r="BM65" s="55"/>
    </row>
    <row r="66" spans="1:65">
      <c r="A66" s="12" t="str">
        <f>Roster!A66</f>
        <v/>
      </c>
      <c r="B66" s="28">
        <f>Roster!C66</f>
        <v>0</v>
      </c>
      <c r="C66" s="55"/>
      <c r="D66" s="56"/>
      <c r="E66" s="57"/>
      <c r="F66" s="57"/>
      <c r="G66" s="57"/>
      <c r="H66" s="57"/>
      <c r="I66" s="57"/>
      <c r="J66" s="57"/>
      <c r="K66" s="45"/>
      <c r="L66" s="58"/>
      <c r="M66" s="56"/>
      <c r="N66" s="57"/>
      <c r="O66" s="57"/>
      <c r="P66" s="57"/>
      <c r="Q66" s="57"/>
      <c r="R66" s="57"/>
      <c r="S66" s="57"/>
      <c r="T66" s="45"/>
      <c r="U66" s="65"/>
      <c r="V66" s="56"/>
      <c r="W66" s="57"/>
      <c r="X66" s="57"/>
      <c r="Y66" s="57"/>
      <c r="Z66" s="57"/>
      <c r="AA66" s="57"/>
      <c r="AB66" s="57"/>
      <c r="AC66" s="45"/>
      <c r="AD66" s="65"/>
      <c r="AE66" s="56"/>
      <c r="AF66" s="57"/>
      <c r="AG66" s="57"/>
      <c r="AH66" s="57"/>
      <c r="AI66" s="57"/>
      <c r="AJ66" s="57"/>
      <c r="AK66" s="57"/>
      <c r="AL66" s="45"/>
      <c r="AM66" s="65"/>
      <c r="AN66" s="56"/>
      <c r="AO66" s="57"/>
      <c r="AP66" s="57"/>
      <c r="AQ66" s="57"/>
      <c r="AR66" s="57"/>
      <c r="AS66" s="57"/>
      <c r="AT66" s="57"/>
      <c r="AU66" s="45"/>
      <c r="AV66" s="65"/>
      <c r="AW66" s="56"/>
      <c r="AX66" s="55"/>
      <c r="AY66" s="55"/>
      <c r="AZ66" s="55"/>
      <c r="BA66" s="55"/>
      <c r="BB66" s="55"/>
      <c r="BC66" s="55"/>
      <c r="BD66" s="45"/>
      <c r="BE66" s="65"/>
      <c r="BF66" s="55"/>
      <c r="BG66" s="55"/>
      <c r="BH66" s="55"/>
      <c r="BI66" s="55"/>
      <c r="BJ66" s="55"/>
      <c r="BK66" s="55"/>
      <c r="BL66" s="55"/>
      <c r="BM66" s="55"/>
    </row>
    <row r="67" spans="1:65">
      <c r="A67" s="12" t="str">
        <f>Roster!A67</f>
        <v/>
      </c>
      <c r="B67" s="28">
        <f>Roster!C67</f>
        <v>0</v>
      </c>
      <c r="C67" s="55"/>
      <c r="D67" s="56"/>
      <c r="E67" s="57"/>
      <c r="F67" s="57"/>
      <c r="G67" s="57"/>
      <c r="H67" s="57"/>
      <c r="I67" s="57"/>
      <c r="J67" s="57"/>
      <c r="K67" s="45"/>
      <c r="L67" s="58"/>
      <c r="M67" s="56"/>
      <c r="N67" s="57"/>
      <c r="O67" s="57"/>
      <c r="P67" s="57"/>
      <c r="Q67" s="57"/>
      <c r="R67" s="57"/>
      <c r="S67" s="57"/>
      <c r="T67" s="45"/>
      <c r="U67" s="65"/>
      <c r="V67" s="56"/>
      <c r="W67" s="57"/>
      <c r="X67" s="57"/>
      <c r="Y67" s="57"/>
      <c r="Z67" s="57"/>
      <c r="AA67" s="57"/>
      <c r="AB67" s="57"/>
      <c r="AC67" s="45"/>
      <c r="AD67" s="65"/>
      <c r="AE67" s="56"/>
      <c r="AF67" s="57"/>
      <c r="AG67" s="57"/>
      <c r="AH67" s="57"/>
      <c r="AI67" s="57"/>
      <c r="AJ67" s="57"/>
      <c r="AK67" s="57"/>
      <c r="AL67" s="45"/>
      <c r="AM67" s="65"/>
      <c r="AN67" s="56"/>
      <c r="AO67" s="57"/>
      <c r="AP67" s="57"/>
      <c r="AQ67" s="57"/>
      <c r="AR67" s="57"/>
      <c r="AS67" s="57"/>
      <c r="AT67" s="57"/>
      <c r="AU67" s="45"/>
      <c r="AV67" s="65"/>
      <c r="AW67" s="56"/>
      <c r="AX67" s="55"/>
      <c r="AY67" s="55"/>
      <c r="AZ67" s="55"/>
      <c r="BA67" s="55"/>
      <c r="BB67" s="55"/>
      <c r="BC67" s="55"/>
      <c r="BD67" s="45"/>
      <c r="BE67" s="65"/>
      <c r="BF67" s="55"/>
      <c r="BG67" s="55"/>
      <c r="BH67" s="55"/>
      <c r="BI67" s="55"/>
      <c r="BJ67" s="55"/>
      <c r="BK67" s="55"/>
      <c r="BL67" s="55"/>
      <c r="BM67" s="55"/>
    </row>
    <row r="68" spans="1:65">
      <c r="A68" s="12" t="str">
        <f>Roster!A68</f>
        <v/>
      </c>
      <c r="B68" s="28">
        <f>Roster!C68</f>
        <v>0</v>
      </c>
      <c r="C68" s="55"/>
      <c r="D68" s="56"/>
      <c r="E68" s="57"/>
      <c r="F68" s="57"/>
      <c r="G68" s="57"/>
      <c r="H68" s="57"/>
      <c r="I68" s="57"/>
      <c r="J68" s="57"/>
      <c r="K68" s="45"/>
      <c r="L68" s="58"/>
      <c r="M68" s="56"/>
      <c r="N68" s="57"/>
      <c r="O68" s="57"/>
      <c r="P68" s="57"/>
      <c r="Q68" s="57"/>
      <c r="R68" s="57"/>
      <c r="S68" s="57"/>
      <c r="T68" s="45"/>
      <c r="U68" s="65"/>
      <c r="V68" s="56"/>
      <c r="W68" s="57"/>
      <c r="X68" s="57"/>
      <c r="Y68" s="57"/>
      <c r="Z68" s="57"/>
      <c r="AA68" s="57"/>
      <c r="AB68" s="57"/>
      <c r="AC68" s="45"/>
      <c r="AD68" s="65"/>
      <c r="AE68" s="56"/>
      <c r="AF68" s="57"/>
      <c r="AG68" s="57"/>
      <c r="AH68" s="57"/>
      <c r="AI68" s="57"/>
      <c r="AJ68" s="57"/>
      <c r="AK68" s="57"/>
      <c r="AL68" s="45"/>
      <c r="AM68" s="65"/>
      <c r="AN68" s="56"/>
      <c r="AO68" s="57"/>
      <c r="AP68" s="57"/>
      <c r="AQ68" s="57"/>
      <c r="AR68" s="57"/>
      <c r="AS68" s="57"/>
      <c r="AT68" s="57"/>
      <c r="AU68" s="45"/>
      <c r="AV68" s="65"/>
      <c r="AW68" s="56"/>
      <c r="AX68" s="55"/>
      <c r="AY68" s="55"/>
      <c r="AZ68" s="55"/>
      <c r="BA68" s="55"/>
      <c r="BB68" s="55"/>
      <c r="BC68" s="55"/>
      <c r="BD68" s="45"/>
      <c r="BE68" s="65"/>
      <c r="BF68" s="55"/>
      <c r="BG68" s="55"/>
      <c r="BH68" s="55"/>
      <c r="BI68" s="55"/>
      <c r="BJ68" s="55"/>
      <c r="BK68" s="55"/>
      <c r="BL68" s="55"/>
      <c r="BM68" s="55"/>
    </row>
    <row r="69" spans="1:65">
      <c r="A69" s="12" t="str">
        <f>Roster!A69</f>
        <v/>
      </c>
      <c r="B69" s="28">
        <f>Roster!C69</f>
        <v>0</v>
      </c>
      <c r="C69" s="55"/>
      <c r="D69" s="56"/>
      <c r="E69" s="57"/>
      <c r="F69" s="57"/>
      <c r="G69" s="57"/>
      <c r="H69" s="57"/>
      <c r="I69" s="57"/>
      <c r="J69" s="57"/>
      <c r="K69" s="45"/>
      <c r="L69" s="58"/>
      <c r="M69" s="56"/>
      <c r="N69" s="57"/>
      <c r="O69" s="57"/>
      <c r="P69" s="57"/>
      <c r="Q69" s="57"/>
      <c r="R69" s="57"/>
      <c r="S69" s="57"/>
      <c r="T69" s="45"/>
      <c r="U69" s="65"/>
      <c r="V69" s="56"/>
      <c r="W69" s="57"/>
      <c r="X69" s="57"/>
      <c r="Y69" s="57"/>
      <c r="Z69" s="57"/>
      <c r="AA69" s="57"/>
      <c r="AB69" s="57"/>
      <c r="AC69" s="45"/>
      <c r="AD69" s="65"/>
      <c r="AE69" s="56"/>
      <c r="AF69" s="57"/>
      <c r="AG69" s="57"/>
      <c r="AH69" s="57"/>
      <c r="AI69" s="57"/>
      <c r="AJ69" s="57"/>
      <c r="AK69" s="57"/>
      <c r="AL69" s="45"/>
      <c r="AM69" s="65"/>
      <c r="AN69" s="56"/>
      <c r="AO69" s="57"/>
      <c r="AP69" s="57"/>
      <c r="AQ69" s="57"/>
      <c r="AR69" s="57"/>
      <c r="AS69" s="57"/>
      <c r="AT69" s="57"/>
      <c r="AU69" s="45"/>
      <c r="AV69" s="65"/>
      <c r="AW69" s="56"/>
      <c r="AX69" s="55"/>
      <c r="AY69" s="55"/>
      <c r="AZ69" s="55"/>
      <c r="BA69" s="55"/>
      <c r="BB69" s="55"/>
      <c r="BC69" s="55"/>
      <c r="BD69" s="45"/>
      <c r="BE69" s="65"/>
      <c r="BF69" s="55"/>
      <c r="BG69" s="55"/>
      <c r="BH69" s="55"/>
      <c r="BI69" s="55"/>
      <c r="BJ69" s="55"/>
      <c r="BK69" s="55"/>
      <c r="BL69" s="55"/>
      <c r="BM69" s="55"/>
    </row>
    <row r="70" spans="1:65">
      <c r="A70" s="12" t="str">
        <f>Roster!A70</f>
        <v/>
      </c>
      <c r="B70" s="28">
        <f>Roster!C70</f>
        <v>0</v>
      </c>
      <c r="C70" s="55"/>
      <c r="D70" s="56"/>
      <c r="E70" s="57"/>
      <c r="F70" s="57"/>
      <c r="G70" s="57"/>
      <c r="H70" s="57"/>
      <c r="I70" s="57"/>
      <c r="J70" s="57"/>
      <c r="K70" s="45"/>
      <c r="L70" s="58"/>
      <c r="M70" s="56"/>
      <c r="N70" s="57"/>
      <c r="O70" s="57"/>
      <c r="P70" s="57"/>
      <c r="Q70" s="57"/>
      <c r="R70" s="57"/>
      <c r="S70" s="57"/>
      <c r="T70" s="45"/>
      <c r="U70" s="65"/>
      <c r="V70" s="56"/>
      <c r="W70" s="57"/>
      <c r="X70" s="57"/>
      <c r="Y70" s="57"/>
      <c r="Z70" s="57"/>
      <c r="AA70" s="57"/>
      <c r="AB70" s="57"/>
      <c r="AC70" s="45"/>
      <c r="AD70" s="65"/>
      <c r="AE70" s="56"/>
      <c r="AF70" s="57"/>
      <c r="AG70" s="57"/>
      <c r="AH70" s="57"/>
      <c r="AI70" s="57"/>
      <c r="AJ70" s="57"/>
      <c r="AK70" s="57"/>
      <c r="AL70" s="45"/>
      <c r="AM70" s="65"/>
      <c r="AN70" s="56"/>
      <c r="AO70" s="57"/>
      <c r="AP70" s="57"/>
      <c r="AQ70" s="57"/>
      <c r="AR70" s="57"/>
      <c r="AS70" s="57"/>
      <c r="AT70" s="57"/>
      <c r="AU70" s="45"/>
      <c r="AV70" s="65"/>
      <c r="AW70" s="56"/>
      <c r="AX70" s="55"/>
      <c r="AY70" s="55"/>
      <c r="AZ70" s="55"/>
      <c r="BA70" s="55"/>
      <c r="BB70" s="55"/>
      <c r="BC70" s="55"/>
      <c r="BD70" s="45"/>
      <c r="BE70" s="65"/>
      <c r="BF70" s="55"/>
      <c r="BG70" s="55"/>
      <c r="BH70" s="55"/>
      <c r="BI70" s="55"/>
      <c r="BJ70" s="55"/>
      <c r="BK70" s="55"/>
      <c r="BL70" s="55"/>
      <c r="BM70" s="55"/>
    </row>
    <row r="71" spans="1:65">
      <c r="A71" s="12" t="str">
        <f>Roster!A71</f>
        <v/>
      </c>
      <c r="B71" s="28">
        <f>Roster!C71</f>
        <v>0</v>
      </c>
      <c r="C71" s="55"/>
      <c r="D71" s="56"/>
      <c r="E71" s="57"/>
      <c r="F71" s="57"/>
      <c r="G71" s="57"/>
      <c r="H71" s="57"/>
      <c r="I71" s="57"/>
      <c r="J71" s="57"/>
      <c r="K71" s="45"/>
      <c r="L71" s="58"/>
      <c r="M71" s="56"/>
      <c r="N71" s="57"/>
      <c r="O71" s="57"/>
      <c r="P71" s="57"/>
      <c r="Q71" s="57"/>
      <c r="R71" s="57"/>
      <c r="S71" s="57"/>
      <c r="T71" s="45"/>
      <c r="U71" s="65"/>
      <c r="V71" s="56"/>
      <c r="W71" s="57"/>
      <c r="X71" s="57"/>
      <c r="Y71" s="57"/>
      <c r="Z71" s="57"/>
      <c r="AA71" s="57"/>
      <c r="AB71" s="57"/>
      <c r="AC71" s="45"/>
      <c r="AD71" s="65"/>
      <c r="AE71" s="56"/>
      <c r="AF71" s="57"/>
      <c r="AG71" s="57"/>
      <c r="AH71" s="57"/>
      <c r="AI71" s="57"/>
      <c r="AJ71" s="57"/>
      <c r="AK71" s="57"/>
      <c r="AL71" s="45"/>
      <c r="AM71" s="65"/>
      <c r="AN71" s="56"/>
      <c r="AO71" s="57"/>
      <c r="AP71" s="57"/>
      <c r="AQ71" s="57"/>
      <c r="AR71" s="57"/>
      <c r="AS71" s="57"/>
      <c r="AT71" s="57"/>
      <c r="AU71" s="45"/>
      <c r="AV71" s="65"/>
      <c r="AW71" s="56"/>
      <c r="AX71" s="55"/>
      <c r="AY71" s="55"/>
      <c r="AZ71" s="55"/>
      <c r="BA71" s="55"/>
      <c r="BB71" s="55"/>
      <c r="BC71" s="55"/>
      <c r="BD71" s="45"/>
      <c r="BE71" s="65"/>
      <c r="BF71" s="55"/>
      <c r="BG71" s="55"/>
      <c r="BH71" s="55"/>
      <c r="BI71" s="55"/>
      <c r="BJ71" s="55"/>
      <c r="BK71" s="55"/>
      <c r="BL71" s="55"/>
      <c r="BM71" s="55"/>
    </row>
    <row r="72" spans="1:65">
      <c r="A72" s="12" t="str">
        <f>Roster!A72</f>
        <v/>
      </c>
      <c r="B72" s="28">
        <f>Roster!C72</f>
        <v>0</v>
      </c>
      <c r="C72" s="55"/>
      <c r="D72" s="56"/>
      <c r="E72" s="57"/>
      <c r="F72" s="57"/>
      <c r="G72" s="57"/>
      <c r="H72" s="57"/>
      <c r="I72" s="57"/>
      <c r="J72" s="57"/>
      <c r="K72" s="45"/>
      <c r="L72" s="58"/>
      <c r="M72" s="56"/>
      <c r="N72" s="57"/>
      <c r="O72" s="57"/>
      <c r="P72" s="57"/>
      <c r="Q72" s="57"/>
      <c r="R72" s="57"/>
      <c r="S72" s="57"/>
      <c r="T72" s="45"/>
      <c r="U72" s="65"/>
      <c r="V72" s="56"/>
      <c r="W72" s="57"/>
      <c r="X72" s="57"/>
      <c r="Y72" s="57"/>
      <c r="Z72" s="57"/>
      <c r="AA72" s="57"/>
      <c r="AB72" s="57"/>
      <c r="AC72" s="45"/>
      <c r="AD72" s="65"/>
      <c r="AE72" s="56"/>
      <c r="AF72" s="57"/>
      <c r="AG72" s="57"/>
      <c r="AH72" s="57"/>
      <c r="AI72" s="57"/>
      <c r="AJ72" s="57"/>
      <c r="AK72" s="57"/>
      <c r="AL72" s="45"/>
      <c r="AM72" s="65"/>
      <c r="AN72" s="56"/>
      <c r="AO72" s="57"/>
      <c r="AP72" s="57"/>
      <c r="AQ72" s="57"/>
      <c r="AR72" s="57"/>
      <c r="AS72" s="57"/>
      <c r="AT72" s="57"/>
      <c r="AU72" s="45"/>
      <c r="AV72" s="65"/>
      <c r="AW72" s="56"/>
      <c r="AX72" s="55"/>
      <c r="AY72" s="55"/>
      <c r="AZ72" s="55"/>
      <c r="BA72" s="55"/>
      <c r="BB72" s="55"/>
      <c r="BC72" s="55"/>
      <c r="BD72" s="45"/>
      <c r="BE72" s="65"/>
      <c r="BF72" s="55"/>
      <c r="BG72" s="55"/>
      <c r="BH72" s="55"/>
      <c r="BI72" s="55"/>
      <c r="BJ72" s="55"/>
      <c r="BK72" s="55"/>
      <c r="BL72" s="55"/>
      <c r="BM72" s="55"/>
    </row>
    <row r="73" spans="1:65">
      <c r="A73" s="12" t="str">
        <f>Roster!A73</f>
        <v/>
      </c>
      <c r="B73" s="28">
        <f>Roster!C73</f>
        <v>0</v>
      </c>
      <c r="C73" s="55"/>
      <c r="D73" s="56"/>
      <c r="E73" s="57"/>
      <c r="F73" s="57"/>
      <c r="G73" s="57"/>
      <c r="H73" s="57"/>
      <c r="I73" s="57"/>
      <c r="J73" s="57"/>
      <c r="K73" s="45"/>
      <c r="L73" s="58"/>
      <c r="M73" s="56"/>
      <c r="N73" s="57"/>
      <c r="O73" s="57"/>
      <c r="P73" s="57"/>
      <c r="Q73" s="57"/>
      <c r="R73" s="57"/>
      <c r="S73" s="57"/>
      <c r="T73" s="45"/>
      <c r="U73" s="65"/>
      <c r="V73" s="56"/>
      <c r="W73" s="57"/>
      <c r="X73" s="57"/>
      <c r="Y73" s="57"/>
      <c r="Z73" s="57"/>
      <c r="AA73" s="57"/>
      <c r="AB73" s="57"/>
      <c r="AC73" s="45"/>
      <c r="AD73" s="65"/>
      <c r="AE73" s="56"/>
      <c r="AF73" s="57"/>
      <c r="AG73" s="57"/>
      <c r="AH73" s="57"/>
      <c r="AI73" s="57"/>
      <c r="AJ73" s="57"/>
      <c r="AK73" s="57"/>
      <c r="AL73" s="45"/>
      <c r="AM73" s="65"/>
      <c r="AN73" s="56"/>
      <c r="AO73" s="57"/>
      <c r="AP73" s="57"/>
      <c r="AQ73" s="57"/>
      <c r="AR73" s="57"/>
      <c r="AS73" s="57"/>
      <c r="AT73" s="57"/>
      <c r="AU73" s="45"/>
      <c r="AV73" s="65"/>
      <c r="AW73" s="56"/>
      <c r="AX73" s="55"/>
      <c r="AY73" s="55"/>
      <c r="AZ73" s="55"/>
      <c r="BA73" s="55"/>
      <c r="BB73" s="55"/>
      <c r="BC73" s="55"/>
      <c r="BD73" s="45"/>
      <c r="BE73" s="65"/>
      <c r="BF73" s="55"/>
      <c r="BG73" s="55"/>
      <c r="BH73" s="55"/>
      <c r="BI73" s="55"/>
      <c r="BJ73" s="55"/>
      <c r="BK73" s="55"/>
      <c r="BL73" s="55"/>
      <c r="BM73" s="55"/>
    </row>
    <row r="74" spans="1:65">
      <c r="A74" s="12" t="str">
        <f>Roster!A74</f>
        <v/>
      </c>
      <c r="B74" s="28">
        <f>Roster!C74</f>
        <v>0</v>
      </c>
      <c r="C74" s="55"/>
      <c r="D74" s="56"/>
      <c r="E74" s="57"/>
      <c r="F74" s="57"/>
      <c r="G74" s="57"/>
      <c r="H74" s="57"/>
      <c r="I74" s="57"/>
      <c r="J74" s="57"/>
      <c r="K74" s="45"/>
      <c r="L74" s="58"/>
      <c r="M74" s="56"/>
      <c r="N74" s="57"/>
      <c r="O74" s="57"/>
      <c r="P74" s="57"/>
      <c r="Q74" s="57"/>
      <c r="R74" s="57"/>
      <c r="S74" s="57"/>
      <c r="T74" s="45"/>
      <c r="U74" s="65"/>
      <c r="V74" s="56"/>
      <c r="W74" s="57"/>
      <c r="X74" s="57"/>
      <c r="Y74" s="57"/>
      <c r="Z74" s="57"/>
      <c r="AA74" s="57"/>
      <c r="AB74" s="57"/>
      <c r="AC74" s="45"/>
      <c r="AD74" s="65"/>
      <c r="AE74" s="56"/>
      <c r="AF74" s="57"/>
      <c r="AG74" s="57"/>
      <c r="AH74" s="57"/>
      <c r="AI74" s="57"/>
      <c r="AJ74" s="57"/>
      <c r="AK74" s="57"/>
      <c r="AL74" s="45"/>
      <c r="AM74" s="65"/>
      <c r="AN74" s="56"/>
      <c r="AO74" s="57"/>
      <c r="AP74" s="57"/>
      <c r="AQ74" s="57"/>
      <c r="AR74" s="57"/>
      <c r="AS74" s="57"/>
      <c r="AT74" s="57"/>
      <c r="AU74" s="45"/>
      <c r="AV74" s="65"/>
      <c r="AW74" s="56"/>
      <c r="AX74" s="55"/>
      <c r="AY74" s="55"/>
      <c r="AZ74" s="55"/>
      <c r="BA74" s="55"/>
      <c r="BB74" s="55"/>
      <c r="BC74" s="55"/>
      <c r="BD74" s="45"/>
      <c r="BE74" s="65"/>
      <c r="BF74" s="55"/>
      <c r="BG74" s="55"/>
      <c r="BH74" s="55"/>
      <c r="BI74" s="55"/>
      <c r="BJ74" s="55"/>
      <c r="BK74" s="55"/>
      <c r="BL74" s="55"/>
      <c r="BM74" s="55"/>
    </row>
    <row r="75" spans="1:65">
      <c r="A75" s="12" t="str">
        <f>Roster!A75</f>
        <v/>
      </c>
      <c r="B75" s="28">
        <f>Roster!C75</f>
        <v>0</v>
      </c>
      <c r="C75" s="55"/>
      <c r="D75" s="56"/>
      <c r="E75" s="57"/>
      <c r="F75" s="57"/>
      <c r="G75" s="57"/>
      <c r="H75" s="57"/>
      <c r="I75" s="57"/>
      <c r="J75" s="57"/>
      <c r="K75" s="45"/>
      <c r="L75" s="58"/>
      <c r="M75" s="56"/>
      <c r="N75" s="57"/>
      <c r="O75" s="57"/>
      <c r="P75" s="57"/>
      <c r="Q75" s="57"/>
      <c r="R75" s="57"/>
      <c r="S75" s="57"/>
      <c r="T75" s="45"/>
      <c r="U75" s="65"/>
      <c r="V75" s="56"/>
      <c r="W75" s="57"/>
      <c r="X75" s="57"/>
      <c r="Y75" s="57"/>
      <c r="Z75" s="57"/>
      <c r="AA75" s="57"/>
      <c r="AB75" s="57"/>
      <c r="AC75" s="45"/>
      <c r="AD75" s="65"/>
      <c r="AE75" s="56"/>
      <c r="AF75" s="57"/>
      <c r="AG75" s="57"/>
      <c r="AH75" s="57"/>
      <c r="AI75" s="57"/>
      <c r="AJ75" s="57"/>
      <c r="AK75" s="57"/>
      <c r="AL75" s="45"/>
      <c r="AM75" s="65"/>
      <c r="AN75" s="56"/>
      <c r="AO75" s="57"/>
      <c r="AP75" s="57"/>
      <c r="AQ75" s="57"/>
      <c r="AR75" s="57"/>
      <c r="AS75" s="57"/>
      <c r="AT75" s="57"/>
      <c r="AU75" s="45"/>
      <c r="AV75" s="65"/>
      <c r="AW75" s="56"/>
      <c r="AX75" s="55"/>
      <c r="AY75" s="55"/>
      <c r="AZ75" s="55"/>
      <c r="BA75" s="55"/>
      <c r="BB75" s="55"/>
      <c r="BC75" s="55"/>
      <c r="BD75" s="45"/>
      <c r="BE75" s="65"/>
      <c r="BF75" s="55"/>
      <c r="BG75" s="55"/>
      <c r="BH75" s="55"/>
      <c r="BI75" s="55"/>
      <c r="BJ75" s="55"/>
      <c r="BK75" s="55"/>
      <c r="BL75" s="55"/>
      <c r="BM75" s="55"/>
    </row>
    <row r="76" spans="1:65">
      <c r="A76" s="12" t="str">
        <f>Roster!A76</f>
        <v/>
      </c>
      <c r="B76" s="28">
        <f>Roster!C76</f>
        <v>0</v>
      </c>
      <c r="C76" s="55"/>
      <c r="D76" s="56"/>
      <c r="E76" s="57"/>
      <c r="F76" s="57"/>
      <c r="G76" s="57"/>
      <c r="H76" s="57"/>
      <c r="I76" s="57"/>
      <c r="J76" s="57"/>
      <c r="K76" s="45"/>
      <c r="L76" s="58"/>
      <c r="M76" s="56"/>
      <c r="N76" s="57"/>
      <c r="O76" s="57"/>
      <c r="P76" s="57"/>
      <c r="Q76" s="57"/>
      <c r="R76" s="57"/>
      <c r="S76" s="57"/>
      <c r="T76" s="45"/>
      <c r="U76" s="65"/>
      <c r="V76" s="56"/>
      <c r="W76" s="57"/>
      <c r="X76" s="57"/>
      <c r="Y76" s="57"/>
      <c r="Z76" s="57"/>
      <c r="AA76" s="57"/>
      <c r="AB76" s="57"/>
      <c r="AC76" s="45"/>
      <c r="AD76" s="65"/>
      <c r="AE76" s="56"/>
      <c r="AF76" s="57"/>
      <c r="AG76" s="57"/>
      <c r="AH76" s="57"/>
      <c r="AI76" s="57"/>
      <c r="AJ76" s="57"/>
      <c r="AK76" s="57"/>
      <c r="AL76" s="45"/>
      <c r="AM76" s="65"/>
      <c r="AN76" s="56"/>
      <c r="AO76" s="57"/>
      <c r="AP76" s="57"/>
      <c r="AQ76" s="57"/>
      <c r="AR76" s="57"/>
      <c r="AS76" s="57"/>
      <c r="AT76" s="57"/>
      <c r="AU76" s="45"/>
      <c r="AV76" s="65"/>
      <c r="AW76" s="56"/>
      <c r="AX76" s="55"/>
      <c r="AY76" s="55"/>
      <c r="AZ76" s="55"/>
      <c r="BA76" s="55"/>
      <c r="BB76" s="55"/>
      <c r="BC76" s="55"/>
      <c r="BD76" s="45"/>
      <c r="BE76" s="65"/>
      <c r="BF76" s="55"/>
      <c r="BG76" s="55"/>
      <c r="BH76" s="55"/>
      <c r="BI76" s="55"/>
      <c r="BJ76" s="55"/>
      <c r="BK76" s="55"/>
      <c r="BL76" s="55"/>
      <c r="BM76" s="55"/>
    </row>
    <row r="77" spans="1:65">
      <c r="A77" s="12" t="str">
        <f>Roster!A77</f>
        <v/>
      </c>
      <c r="B77" s="28">
        <f>Roster!C77</f>
        <v>0</v>
      </c>
      <c r="C77" s="55"/>
      <c r="D77" s="56"/>
      <c r="E77" s="57"/>
      <c r="F77" s="57"/>
      <c r="G77" s="57"/>
      <c r="H77" s="57"/>
      <c r="I77" s="57"/>
      <c r="J77" s="57"/>
      <c r="K77" s="45"/>
      <c r="L77" s="58"/>
      <c r="M77" s="56"/>
      <c r="N77" s="57"/>
      <c r="O77" s="57"/>
      <c r="P77" s="57"/>
      <c r="Q77" s="57"/>
      <c r="R77" s="57"/>
      <c r="S77" s="57"/>
      <c r="T77" s="45"/>
      <c r="U77" s="65"/>
      <c r="V77" s="56"/>
      <c r="W77" s="57"/>
      <c r="X77" s="57"/>
      <c r="Y77" s="57"/>
      <c r="Z77" s="57"/>
      <c r="AA77" s="57"/>
      <c r="AB77" s="57"/>
      <c r="AC77" s="45"/>
      <c r="AD77" s="65"/>
      <c r="AE77" s="56"/>
      <c r="AF77" s="57"/>
      <c r="AG77" s="57"/>
      <c r="AH77" s="57"/>
      <c r="AI77" s="57"/>
      <c r="AJ77" s="57"/>
      <c r="AK77" s="57"/>
      <c r="AL77" s="45"/>
      <c r="AM77" s="65"/>
      <c r="AN77" s="56"/>
      <c r="AO77" s="57"/>
      <c r="AP77" s="57"/>
      <c r="AQ77" s="57"/>
      <c r="AR77" s="57"/>
      <c r="AS77" s="57"/>
      <c r="AT77" s="57"/>
      <c r="AU77" s="45"/>
      <c r="AV77" s="65"/>
      <c r="AW77" s="56"/>
      <c r="AX77" s="55"/>
      <c r="AY77" s="55"/>
      <c r="AZ77" s="55"/>
      <c r="BA77" s="55"/>
      <c r="BB77" s="55"/>
      <c r="BC77" s="55"/>
      <c r="BD77" s="45"/>
      <c r="BE77" s="65"/>
      <c r="BF77" s="55"/>
      <c r="BG77" s="55"/>
      <c r="BH77" s="55"/>
      <c r="BI77" s="55"/>
      <c r="BJ77" s="55"/>
      <c r="BK77" s="55"/>
      <c r="BL77" s="55"/>
      <c r="BM77" s="55"/>
    </row>
    <row r="78" spans="1:65">
      <c r="A78" s="12" t="str">
        <f>Roster!A78</f>
        <v/>
      </c>
      <c r="B78" s="28">
        <f>Roster!C78</f>
        <v>0</v>
      </c>
      <c r="C78" s="55"/>
      <c r="D78" s="56"/>
      <c r="E78" s="57"/>
      <c r="F78" s="57"/>
      <c r="G78" s="57"/>
      <c r="H78" s="57"/>
      <c r="I78" s="57"/>
      <c r="J78" s="57"/>
      <c r="K78" s="45"/>
      <c r="L78" s="58"/>
      <c r="M78" s="56"/>
      <c r="N78" s="57"/>
      <c r="O78" s="57"/>
      <c r="P78" s="57"/>
      <c r="Q78" s="57"/>
      <c r="R78" s="57"/>
      <c r="S78" s="57"/>
      <c r="T78" s="45"/>
      <c r="U78" s="65"/>
      <c r="V78" s="56"/>
      <c r="W78" s="57"/>
      <c r="X78" s="57"/>
      <c r="Y78" s="57"/>
      <c r="Z78" s="57"/>
      <c r="AA78" s="57"/>
      <c r="AB78" s="57"/>
      <c r="AC78" s="45"/>
      <c r="AD78" s="65"/>
      <c r="AE78" s="56"/>
      <c r="AF78" s="57"/>
      <c r="AG78" s="57"/>
      <c r="AH78" s="57"/>
      <c r="AI78" s="57"/>
      <c r="AJ78" s="57"/>
      <c r="AK78" s="57"/>
      <c r="AL78" s="45"/>
      <c r="AM78" s="65"/>
      <c r="AN78" s="56"/>
      <c r="AO78" s="57"/>
      <c r="AP78" s="57"/>
      <c r="AQ78" s="57"/>
      <c r="AR78" s="57"/>
      <c r="AS78" s="57"/>
      <c r="AT78" s="57"/>
      <c r="AU78" s="45"/>
      <c r="AV78" s="65"/>
      <c r="AW78" s="56"/>
      <c r="AX78" s="55"/>
      <c r="AY78" s="55"/>
      <c r="AZ78" s="55"/>
      <c r="BA78" s="55"/>
      <c r="BB78" s="55"/>
      <c r="BC78" s="55"/>
      <c r="BD78" s="45"/>
      <c r="BE78" s="65"/>
      <c r="BF78" s="55"/>
      <c r="BG78" s="55"/>
      <c r="BH78" s="55"/>
      <c r="BI78" s="55"/>
      <c r="BJ78" s="55"/>
      <c r="BK78" s="55"/>
      <c r="BL78" s="55"/>
      <c r="BM78" s="55"/>
    </row>
    <row r="79" spans="1:65">
      <c r="A79" s="12" t="str">
        <f>Roster!A79</f>
        <v/>
      </c>
      <c r="B79" s="28">
        <f>Roster!C79</f>
        <v>0</v>
      </c>
      <c r="C79" s="55"/>
      <c r="D79" s="56"/>
      <c r="E79" s="57"/>
      <c r="F79" s="57"/>
      <c r="G79" s="57"/>
      <c r="H79" s="57"/>
      <c r="I79" s="57"/>
      <c r="J79" s="57"/>
      <c r="K79" s="45"/>
      <c r="L79" s="58"/>
      <c r="M79" s="56"/>
      <c r="N79" s="57"/>
      <c r="O79" s="57"/>
      <c r="P79" s="57"/>
      <c r="Q79" s="57"/>
      <c r="R79" s="57"/>
      <c r="S79" s="57"/>
      <c r="T79" s="45"/>
      <c r="U79" s="65"/>
      <c r="V79" s="56"/>
      <c r="W79" s="57"/>
      <c r="X79" s="57"/>
      <c r="Y79" s="57"/>
      <c r="Z79" s="57"/>
      <c r="AA79" s="57"/>
      <c r="AB79" s="57"/>
      <c r="AC79" s="45"/>
      <c r="AD79" s="65"/>
      <c r="AE79" s="56"/>
      <c r="AF79" s="57"/>
      <c r="AG79" s="57"/>
      <c r="AH79" s="57"/>
      <c r="AI79" s="57"/>
      <c r="AJ79" s="57"/>
      <c r="AK79" s="57"/>
      <c r="AL79" s="45"/>
      <c r="AM79" s="65"/>
      <c r="AN79" s="56"/>
      <c r="AO79" s="57"/>
      <c r="AP79" s="57"/>
      <c r="AQ79" s="57"/>
      <c r="AR79" s="57"/>
      <c r="AS79" s="57"/>
      <c r="AT79" s="57"/>
      <c r="AU79" s="45"/>
      <c r="AV79" s="65"/>
      <c r="AW79" s="56"/>
      <c r="AX79" s="55"/>
      <c r="AY79" s="55"/>
      <c r="AZ79" s="55"/>
      <c r="BA79" s="55"/>
      <c r="BB79" s="55"/>
      <c r="BC79" s="55"/>
      <c r="BD79" s="45"/>
      <c r="BE79" s="65"/>
      <c r="BF79" s="55"/>
      <c r="BG79" s="55"/>
      <c r="BH79" s="55"/>
      <c r="BI79" s="55"/>
      <c r="BJ79" s="55"/>
      <c r="BK79" s="55"/>
      <c r="BL79" s="55"/>
      <c r="BM79" s="55"/>
    </row>
    <row r="80" spans="1:65">
      <c r="A80" s="12" t="str">
        <f>Roster!A80</f>
        <v/>
      </c>
      <c r="B80" s="28">
        <f>Roster!C80</f>
        <v>0</v>
      </c>
      <c r="C80" s="55"/>
      <c r="D80" s="56"/>
      <c r="E80" s="57"/>
      <c r="F80" s="57"/>
      <c r="G80" s="57"/>
      <c r="H80" s="57"/>
      <c r="I80" s="57"/>
      <c r="J80" s="57"/>
      <c r="K80" s="45"/>
      <c r="L80" s="58"/>
      <c r="M80" s="56"/>
      <c r="N80" s="57"/>
      <c r="O80" s="57"/>
      <c r="P80" s="57"/>
      <c r="Q80" s="57"/>
      <c r="R80" s="57"/>
      <c r="S80" s="57"/>
      <c r="T80" s="45"/>
      <c r="U80" s="65"/>
      <c r="V80" s="56"/>
      <c r="W80" s="57"/>
      <c r="X80" s="57"/>
      <c r="Y80" s="57"/>
      <c r="Z80" s="57"/>
      <c r="AA80" s="57"/>
      <c r="AB80" s="57"/>
      <c r="AC80" s="45"/>
      <c r="AD80" s="65"/>
      <c r="AE80" s="56"/>
      <c r="AF80" s="57"/>
      <c r="AG80" s="57"/>
      <c r="AH80" s="57"/>
      <c r="AI80" s="57"/>
      <c r="AJ80" s="57"/>
      <c r="AK80" s="57"/>
      <c r="AL80" s="45"/>
      <c r="AM80" s="65"/>
      <c r="AN80" s="56"/>
      <c r="AO80" s="57"/>
      <c r="AP80" s="57"/>
      <c r="AQ80" s="57"/>
      <c r="AR80" s="57"/>
      <c r="AS80" s="57"/>
      <c r="AT80" s="57"/>
      <c r="AU80" s="45"/>
      <c r="AV80" s="65"/>
      <c r="AW80" s="56"/>
      <c r="AX80" s="55"/>
      <c r="AY80" s="55"/>
      <c r="AZ80" s="55"/>
      <c r="BA80" s="55"/>
      <c r="BB80" s="55"/>
      <c r="BC80" s="55"/>
      <c r="BD80" s="45"/>
      <c r="BE80" s="65"/>
      <c r="BF80" s="55"/>
      <c r="BG80" s="55"/>
      <c r="BH80" s="55"/>
      <c r="BI80" s="55"/>
      <c r="BJ80" s="55"/>
      <c r="BK80" s="55"/>
      <c r="BL80" s="55"/>
      <c r="BM80" s="55"/>
    </row>
    <row r="81" spans="1:65">
      <c r="A81" s="12" t="str">
        <f>Roster!A81</f>
        <v/>
      </c>
      <c r="B81" s="28">
        <f>Roster!C81</f>
        <v>0</v>
      </c>
      <c r="C81" s="55"/>
      <c r="D81" s="56"/>
      <c r="E81" s="57"/>
      <c r="F81" s="57"/>
      <c r="G81" s="57"/>
      <c r="H81" s="57"/>
      <c r="I81" s="57"/>
      <c r="J81" s="57"/>
      <c r="K81" s="45"/>
      <c r="L81" s="58"/>
      <c r="M81" s="56"/>
      <c r="N81" s="57"/>
      <c r="O81" s="57"/>
      <c r="P81" s="57"/>
      <c r="Q81" s="57"/>
      <c r="R81" s="57"/>
      <c r="S81" s="57"/>
      <c r="T81" s="45"/>
      <c r="U81" s="65"/>
      <c r="V81" s="56"/>
      <c r="W81" s="57"/>
      <c r="X81" s="57"/>
      <c r="Y81" s="57"/>
      <c r="Z81" s="57"/>
      <c r="AA81" s="57"/>
      <c r="AB81" s="57"/>
      <c r="AC81" s="45"/>
      <c r="AD81" s="65"/>
      <c r="AE81" s="56"/>
      <c r="AF81" s="57"/>
      <c r="AG81" s="57"/>
      <c r="AH81" s="57"/>
      <c r="AI81" s="57"/>
      <c r="AJ81" s="57"/>
      <c r="AK81" s="57"/>
      <c r="AL81" s="45"/>
      <c r="AM81" s="65"/>
      <c r="AN81" s="56"/>
      <c r="AO81" s="57"/>
      <c r="AP81" s="57"/>
      <c r="AQ81" s="57"/>
      <c r="AR81" s="57"/>
      <c r="AS81" s="57"/>
      <c r="AT81" s="57"/>
      <c r="AU81" s="45"/>
      <c r="AV81" s="65"/>
      <c r="AW81" s="56"/>
      <c r="AX81" s="55"/>
      <c r="AY81" s="55"/>
      <c r="AZ81" s="55"/>
      <c r="BA81" s="55"/>
      <c r="BB81" s="55"/>
      <c r="BC81" s="55"/>
      <c r="BD81" s="45"/>
      <c r="BE81" s="65"/>
      <c r="BF81" s="55"/>
      <c r="BG81" s="55"/>
      <c r="BH81" s="55"/>
      <c r="BI81" s="55"/>
      <c r="BJ81" s="55"/>
      <c r="BK81" s="55"/>
      <c r="BL81" s="55"/>
      <c r="BM81" s="55"/>
    </row>
    <row r="82" spans="1:65">
      <c r="A82" s="12" t="str">
        <f>Roster!A82</f>
        <v/>
      </c>
      <c r="B82" s="28">
        <f>Roster!C82</f>
        <v>0</v>
      </c>
      <c r="C82" s="55"/>
      <c r="D82" s="56"/>
      <c r="E82" s="57"/>
      <c r="F82" s="57"/>
      <c r="G82" s="57"/>
      <c r="H82" s="57"/>
      <c r="I82" s="57"/>
      <c r="J82" s="57"/>
      <c r="K82" s="45"/>
      <c r="L82" s="58"/>
      <c r="M82" s="56"/>
      <c r="N82" s="57"/>
      <c r="O82" s="57"/>
      <c r="P82" s="57"/>
      <c r="Q82" s="57"/>
      <c r="R82" s="57"/>
      <c r="S82" s="57"/>
      <c r="T82" s="45"/>
      <c r="U82" s="65"/>
      <c r="V82" s="56"/>
      <c r="W82" s="57"/>
      <c r="X82" s="57"/>
      <c r="Y82" s="57"/>
      <c r="Z82" s="57"/>
      <c r="AA82" s="57"/>
      <c r="AB82" s="57"/>
      <c r="AC82" s="45"/>
      <c r="AD82" s="65"/>
      <c r="AE82" s="56"/>
      <c r="AF82" s="57"/>
      <c r="AG82" s="57"/>
      <c r="AH82" s="57"/>
      <c r="AI82" s="57"/>
      <c r="AJ82" s="57"/>
      <c r="AK82" s="57"/>
      <c r="AL82" s="45"/>
      <c r="AM82" s="65"/>
      <c r="AN82" s="56"/>
      <c r="AO82" s="57"/>
      <c r="AP82" s="57"/>
      <c r="AQ82" s="57"/>
      <c r="AR82" s="57"/>
      <c r="AS82" s="57"/>
      <c r="AT82" s="57"/>
      <c r="AU82" s="45"/>
      <c r="AV82" s="65"/>
      <c r="AW82" s="56"/>
      <c r="AX82" s="55"/>
      <c r="AY82" s="55"/>
      <c r="AZ82" s="55"/>
      <c r="BA82" s="55"/>
      <c r="BB82" s="55"/>
      <c r="BC82" s="55"/>
      <c r="BD82" s="45"/>
      <c r="BE82" s="65"/>
      <c r="BF82" s="55"/>
      <c r="BG82" s="55"/>
      <c r="BH82" s="55"/>
      <c r="BI82" s="55"/>
      <c r="BJ82" s="55"/>
      <c r="BK82" s="55"/>
      <c r="BL82" s="55"/>
      <c r="BM82" s="55"/>
    </row>
    <row r="83" spans="1:65">
      <c r="A83" s="12" t="str">
        <f>Roster!A83</f>
        <v/>
      </c>
      <c r="B83" s="28">
        <f>Roster!C83</f>
        <v>0</v>
      </c>
      <c r="C83" s="55"/>
      <c r="D83" s="56"/>
      <c r="E83" s="57"/>
      <c r="F83" s="57"/>
      <c r="G83" s="57"/>
      <c r="H83" s="57"/>
      <c r="I83" s="57"/>
      <c r="J83" s="57"/>
      <c r="K83" s="45"/>
      <c r="L83" s="58"/>
      <c r="M83" s="56"/>
      <c r="N83" s="57"/>
      <c r="O83" s="57"/>
      <c r="P83" s="57"/>
      <c r="Q83" s="57"/>
      <c r="R83" s="57"/>
      <c r="S83" s="57"/>
      <c r="T83" s="45"/>
      <c r="U83" s="65"/>
      <c r="V83" s="56"/>
      <c r="W83" s="57"/>
      <c r="X83" s="57"/>
      <c r="Y83" s="57"/>
      <c r="Z83" s="57"/>
      <c r="AA83" s="57"/>
      <c r="AB83" s="57"/>
      <c r="AC83" s="45"/>
      <c r="AD83" s="65"/>
      <c r="AE83" s="56"/>
      <c r="AF83" s="57"/>
      <c r="AG83" s="57"/>
      <c r="AH83" s="57"/>
      <c r="AI83" s="57"/>
      <c r="AJ83" s="57"/>
      <c r="AK83" s="57"/>
      <c r="AL83" s="45"/>
      <c r="AM83" s="65"/>
      <c r="AN83" s="56"/>
      <c r="AO83" s="57"/>
      <c r="AP83" s="57"/>
      <c r="AQ83" s="57"/>
      <c r="AR83" s="57"/>
      <c r="AS83" s="57"/>
      <c r="AT83" s="57"/>
      <c r="AU83" s="45"/>
      <c r="AV83" s="65"/>
      <c r="AW83" s="56"/>
      <c r="AX83" s="55"/>
      <c r="AY83" s="55"/>
      <c r="AZ83" s="55"/>
      <c r="BA83" s="55"/>
      <c r="BB83" s="55"/>
      <c r="BC83" s="55"/>
      <c r="BD83" s="45"/>
      <c r="BE83" s="65"/>
      <c r="BF83" s="55"/>
      <c r="BG83" s="55"/>
      <c r="BH83" s="55"/>
      <c r="BI83" s="55"/>
      <c r="BJ83" s="55"/>
      <c r="BK83" s="55"/>
      <c r="BL83" s="55"/>
      <c r="BM83" s="55"/>
    </row>
    <row r="84" spans="1:65">
      <c r="A84" s="12" t="str">
        <f>Roster!A84</f>
        <v/>
      </c>
      <c r="B84" s="28">
        <f>Roster!C84</f>
        <v>0</v>
      </c>
      <c r="C84" s="55"/>
      <c r="D84" s="56"/>
      <c r="E84" s="57"/>
      <c r="F84" s="57"/>
      <c r="G84" s="57"/>
      <c r="H84" s="57"/>
      <c r="I84" s="57"/>
      <c r="J84" s="57"/>
      <c r="K84" s="45"/>
      <c r="L84" s="58"/>
      <c r="M84" s="56"/>
      <c r="N84" s="57"/>
      <c r="O84" s="57"/>
      <c r="P84" s="57"/>
      <c r="Q84" s="57"/>
      <c r="R84" s="57"/>
      <c r="S84" s="57"/>
      <c r="T84" s="45"/>
      <c r="U84" s="65"/>
      <c r="V84" s="56"/>
      <c r="W84" s="57"/>
      <c r="X84" s="57"/>
      <c r="Y84" s="57"/>
      <c r="Z84" s="57"/>
      <c r="AA84" s="57"/>
      <c r="AB84" s="57"/>
      <c r="AC84" s="45"/>
      <c r="AD84" s="65"/>
      <c r="AE84" s="56"/>
      <c r="AF84" s="57"/>
      <c r="AG84" s="57"/>
      <c r="AH84" s="57"/>
      <c r="AI84" s="57"/>
      <c r="AJ84" s="57"/>
      <c r="AK84" s="57"/>
      <c r="AL84" s="45"/>
      <c r="AM84" s="65"/>
      <c r="AN84" s="56"/>
      <c r="AO84" s="57"/>
      <c r="AP84" s="57"/>
      <c r="AQ84" s="57"/>
      <c r="AR84" s="57"/>
      <c r="AS84" s="57"/>
      <c r="AT84" s="57"/>
      <c r="AU84" s="45"/>
      <c r="AV84" s="65"/>
      <c r="AW84" s="56"/>
      <c r="AX84" s="55"/>
      <c r="AY84" s="55"/>
      <c r="AZ84" s="55"/>
      <c r="BA84" s="55"/>
      <c r="BB84" s="55"/>
      <c r="BC84" s="55"/>
      <c r="BD84" s="45"/>
      <c r="BE84" s="65"/>
      <c r="BF84" s="55"/>
      <c r="BG84" s="55"/>
      <c r="BH84" s="55"/>
      <c r="BI84" s="55"/>
      <c r="BJ84" s="55"/>
      <c r="BK84" s="55"/>
      <c r="BL84" s="55"/>
      <c r="BM84" s="55"/>
    </row>
    <row r="85" spans="1:65">
      <c r="A85" s="12" t="str">
        <f>Roster!A85</f>
        <v/>
      </c>
      <c r="B85" s="28">
        <f>Roster!C85</f>
        <v>0</v>
      </c>
      <c r="C85" s="55"/>
      <c r="D85" s="56"/>
      <c r="E85" s="57"/>
      <c r="F85" s="57"/>
      <c r="G85" s="57"/>
      <c r="H85" s="57"/>
      <c r="I85" s="57"/>
      <c r="J85" s="57"/>
      <c r="K85" s="45"/>
      <c r="L85" s="58"/>
      <c r="M85" s="56"/>
      <c r="N85" s="57"/>
      <c r="O85" s="57"/>
      <c r="P85" s="57"/>
      <c r="Q85" s="57"/>
      <c r="R85" s="57"/>
      <c r="S85" s="57"/>
      <c r="T85" s="45"/>
      <c r="U85" s="65"/>
      <c r="V85" s="56"/>
      <c r="W85" s="57"/>
      <c r="X85" s="57"/>
      <c r="Y85" s="57"/>
      <c r="Z85" s="57"/>
      <c r="AA85" s="57"/>
      <c r="AB85" s="57"/>
      <c r="AC85" s="45"/>
      <c r="AD85" s="65"/>
      <c r="AE85" s="56"/>
      <c r="AF85" s="57"/>
      <c r="AG85" s="57"/>
      <c r="AH85" s="57"/>
      <c r="AI85" s="57"/>
      <c r="AJ85" s="57"/>
      <c r="AK85" s="57"/>
      <c r="AL85" s="45"/>
      <c r="AM85" s="65"/>
      <c r="AN85" s="56"/>
      <c r="AO85" s="57"/>
      <c r="AP85" s="57"/>
      <c r="AQ85" s="57"/>
      <c r="AR85" s="57"/>
      <c r="AS85" s="57"/>
      <c r="AT85" s="57"/>
      <c r="AU85" s="45"/>
      <c r="AV85" s="65"/>
      <c r="AW85" s="56"/>
      <c r="AX85" s="55"/>
      <c r="AY85" s="55"/>
      <c r="AZ85" s="55"/>
      <c r="BA85" s="55"/>
      <c r="BB85" s="55"/>
      <c r="BC85" s="55"/>
      <c r="BD85" s="45"/>
      <c r="BE85" s="65"/>
      <c r="BF85" s="55"/>
      <c r="BG85" s="55"/>
      <c r="BH85" s="55"/>
      <c r="BI85" s="55"/>
      <c r="BJ85" s="55"/>
      <c r="BK85" s="55"/>
      <c r="BL85" s="55"/>
      <c r="BM85" s="55"/>
    </row>
    <row r="86" spans="1:65">
      <c r="A86" s="12" t="str">
        <f>Roster!A86</f>
        <v/>
      </c>
      <c r="B86" s="28">
        <f>Roster!C86</f>
        <v>0</v>
      </c>
      <c r="C86" s="55"/>
      <c r="D86" s="56"/>
      <c r="E86" s="57"/>
      <c r="F86" s="57"/>
      <c r="G86" s="57"/>
      <c r="H86" s="57"/>
      <c r="I86" s="57"/>
      <c r="J86" s="57"/>
      <c r="K86" s="45"/>
      <c r="L86" s="58"/>
      <c r="M86" s="56"/>
      <c r="N86" s="57"/>
      <c r="O86" s="57"/>
      <c r="P86" s="57"/>
      <c r="Q86" s="57"/>
      <c r="R86" s="57"/>
      <c r="S86" s="57"/>
      <c r="T86" s="45"/>
      <c r="U86" s="65"/>
      <c r="V86" s="56"/>
      <c r="W86" s="57"/>
      <c r="X86" s="57"/>
      <c r="Y86" s="57"/>
      <c r="Z86" s="57"/>
      <c r="AA86" s="57"/>
      <c r="AB86" s="57"/>
      <c r="AC86" s="45"/>
      <c r="AD86" s="65"/>
      <c r="AE86" s="56"/>
      <c r="AF86" s="57"/>
      <c r="AG86" s="57"/>
      <c r="AH86" s="57"/>
      <c r="AI86" s="57"/>
      <c r="AJ86" s="57"/>
      <c r="AK86" s="57"/>
      <c r="AL86" s="45"/>
      <c r="AM86" s="65"/>
      <c r="AN86" s="56"/>
      <c r="AO86" s="57"/>
      <c r="AP86" s="57"/>
      <c r="AQ86" s="57"/>
      <c r="AR86" s="57"/>
      <c r="AS86" s="57"/>
      <c r="AT86" s="57"/>
      <c r="AU86" s="45"/>
      <c r="AV86" s="65"/>
      <c r="AW86" s="56"/>
      <c r="AX86" s="55"/>
      <c r="AY86" s="55"/>
      <c r="AZ86" s="55"/>
      <c r="BA86" s="55"/>
      <c r="BB86" s="55"/>
      <c r="BC86" s="55"/>
      <c r="BD86" s="45"/>
      <c r="BE86" s="65"/>
      <c r="BF86" s="55"/>
      <c r="BG86" s="55"/>
      <c r="BH86" s="55"/>
      <c r="BI86" s="55"/>
      <c r="BJ86" s="55"/>
      <c r="BK86" s="55"/>
      <c r="BL86" s="55"/>
      <c r="BM86" s="55"/>
    </row>
    <row r="87" spans="1:65">
      <c r="A87" s="12" t="str">
        <f>Roster!A87</f>
        <v/>
      </c>
      <c r="B87" s="28">
        <f>Roster!C87</f>
        <v>0</v>
      </c>
      <c r="C87" s="55"/>
      <c r="D87" s="56"/>
      <c r="E87" s="57"/>
      <c r="F87" s="57"/>
      <c r="G87" s="57"/>
      <c r="H87" s="57"/>
      <c r="I87" s="57"/>
      <c r="J87" s="57"/>
      <c r="K87" s="45"/>
      <c r="L87" s="58"/>
      <c r="M87" s="56"/>
      <c r="N87" s="57"/>
      <c r="O87" s="57"/>
      <c r="P87" s="57"/>
      <c r="Q87" s="57"/>
      <c r="R87" s="57"/>
      <c r="S87" s="57"/>
      <c r="T87" s="45"/>
      <c r="U87" s="65"/>
      <c r="V87" s="56"/>
      <c r="W87" s="57"/>
      <c r="X87" s="57"/>
      <c r="Y87" s="57"/>
      <c r="Z87" s="57"/>
      <c r="AA87" s="57"/>
      <c r="AB87" s="57"/>
      <c r="AC87" s="45"/>
      <c r="AD87" s="65"/>
      <c r="AE87" s="56"/>
      <c r="AF87" s="57"/>
      <c r="AG87" s="57"/>
      <c r="AH87" s="57"/>
      <c r="AI87" s="57"/>
      <c r="AJ87" s="57"/>
      <c r="AK87" s="57"/>
      <c r="AL87" s="45"/>
      <c r="AM87" s="65"/>
      <c r="AN87" s="56"/>
      <c r="AO87" s="57"/>
      <c r="AP87" s="57"/>
      <c r="AQ87" s="57"/>
      <c r="AR87" s="57"/>
      <c r="AS87" s="57"/>
      <c r="AT87" s="57"/>
      <c r="AU87" s="45"/>
      <c r="AV87" s="65"/>
      <c r="AW87" s="56"/>
      <c r="AX87" s="55"/>
      <c r="AY87" s="55"/>
      <c r="AZ87" s="55"/>
      <c r="BA87" s="55"/>
      <c r="BB87" s="55"/>
      <c r="BC87" s="55"/>
      <c r="BD87" s="45"/>
      <c r="BE87" s="65"/>
      <c r="BF87" s="55"/>
      <c r="BG87" s="55"/>
      <c r="BH87" s="55"/>
      <c r="BI87" s="55"/>
      <c r="BJ87" s="55"/>
      <c r="BK87" s="55"/>
      <c r="BL87" s="55"/>
      <c r="BM87" s="55"/>
    </row>
    <row r="88" spans="1:65">
      <c r="A88" s="12" t="str">
        <f>Roster!A88</f>
        <v/>
      </c>
      <c r="B88" s="28">
        <f>Roster!C88</f>
        <v>0</v>
      </c>
      <c r="C88" s="55"/>
      <c r="D88" s="56"/>
      <c r="E88" s="57"/>
      <c r="F88" s="57"/>
      <c r="G88" s="57"/>
      <c r="H88" s="57"/>
      <c r="I88" s="57"/>
      <c r="J88" s="57"/>
      <c r="K88" s="45"/>
      <c r="L88" s="58"/>
      <c r="M88" s="56"/>
      <c r="N88" s="57"/>
      <c r="O88" s="57"/>
      <c r="P88" s="57"/>
      <c r="Q88" s="57"/>
      <c r="R88" s="57"/>
      <c r="S88" s="57"/>
      <c r="T88" s="45"/>
      <c r="U88" s="65"/>
      <c r="V88" s="56"/>
      <c r="W88" s="57"/>
      <c r="X88" s="57"/>
      <c r="Y88" s="57"/>
      <c r="Z88" s="57"/>
      <c r="AA88" s="57"/>
      <c r="AB88" s="57"/>
      <c r="AC88" s="45"/>
      <c r="AD88" s="65"/>
      <c r="AE88" s="56"/>
      <c r="AF88" s="57"/>
      <c r="AG88" s="57"/>
      <c r="AH88" s="57"/>
      <c r="AI88" s="57"/>
      <c r="AJ88" s="57"/>
      <c r="AK88" s="57"/>
      <c r="AL88" s="45"/>
      <c r="AM88" s="65"/>
      <c r="AN88" s="56"/>
      <c r="AO88" s="57"/>
      <c r="AP88" s="57"/>
      <c r="AQ88" s="57"/>
      <c r="AR88" s="57"/>
      <c r="AS88" s="57"/>
      <c r="AT88" s="57"/>
      <c r="AU88" s="45"/>
      <c r="AV88" s="65"/>
      <c r="AW88" s="56"/>
      <c r="AX88" s="55"/>
      <c r="AY88" s="55"/>
      <c r="AZ88" s="55"/>
      <c r="BA88" s="55"/>
      <c r="BB88" s="55"/>
      <c r="BC88" s="55"/>
      <c r="BD88" s="45"/>
      <c r="BE88" s="65"/>
      <c r="BF88" s="55"/>
      <c r="BG88" s="55"/>
      <c r="BH88" s="55"/>
      <c r="BI88" s="55"/>
      <c r="BJ88" s="55"/>
      <c r="BK88" s="55"/>
      <c r="BL88" s="55"/>
      <c r="BM88" s="55"/>
    </row>
    <row r="89" spans="1:65">
      <c r="A89" s="12" t="str">
        <f>Roster!A89</f>
        <v/>
      </c>
      <c r="B89" s="28">
        <f>Roster!C89</f>
        <v>0</v>
      </c>
      <c r="C89" s="55"/>
      <c r="D89" s="56"/>
      <c r="E89" s="57"/>
      <c r="F89" s="57"/>
      <c r="G89" s="57"/>
      <c r="H89" s="57"/>
      <c r="I89" s="57"/>
      <c r="J89" s="57"/>
      <c r="K89" s="45"/>
      <c r="L89" s="58"/>
      <c r="M89" s="56"/>
      <c r="N89" s="57"/>
      <c r="O89" s="57"/>
      <c r="P89" s="57"/>
      <c r="Q89" s="57"/>
      <c r="R89" s="57"/>
      <c r="S89" s="57"/>
      <c r="T89" s="45"/>
      <c r="U89" s="65"/>
      <c r="V89" s="56"/>
      <c r="W89" s="57"/>
      <c r="X89" s="57"/>
      <c r="Y89" s="57"/>
      <c r="Z89" s="57"/>
      <c r="AA89" s="57"/>
      <c r="AB89" s="57"/>
      <c r="AC89" s="45"/>
      <c r="AD89" s="65"/>
      <c r="AE89" s="56"/>
      <c r="AF89" s="57"/>
      <c r="AG89" s="57"/>
      <c r="AH89" s="57"/>
      <c r="AI89" s="57"/>
      <c r="AJ89" s="57"/>
      <c r="AK89" s="57"/>
      <c r="AL89" s="45"/>
      <c r="AM89" s="65"/>
      <c r="AN89" s="56"/>
      <c r="AO89" s="57"/>
      <c r="AP89" s="57"/>
      <c r="AQ89" s="57"/>
      <c r="AR89" s="57"/>
      <c r="AS89" s="57"/>
      <c r="AT89" s="57"/>
      <c r="AU89" s="45"/>
      <c r="AV89" s="65"/>
      <c r="AW89" s="56"/>
      <c r="AX89" s="55"/>
      <c r="AY89" s="55"/>
      <c r="AZ89" s="55"/>
      <c r="BA89" s="55"/>
      <c r="BB89" s="55"/>
      <c r="BC89" s="55"/>
      <c r="BD89" s="45"/>
      <c r="BE89" s="65"/>
      <c r="BF89" s="55"/>
      <c r="BG89" s="55"/>
      <c r="BH89" s="55"/>
      <c r="BI89" s="55"/>
      <c r="BJ89" s="55"/>
      <c r="BK89" s="55"/>
      <c r="BL89" s="55"/>
      <c r="BM89" s="55"/>
    </row>
    <row r="90" spans="1:65">
      <c r="A90" s="12" t="str">
        <f>Roster!A90</f>
        <v/>
      </c>
      <c r="B90" s="28">
        <f>Roster!C90</f>
        <v>0</v>
      </c>
      <c r="C90" s="55"/>
      <c r="D90" s="56"/>
      <c r="E90" s="57"/>
      <c r="F90" s="57"/>
      <c r="G90" s="57"/>
      <c r="H90" s="57"/>
      <c r="I90" s="57"/>
      <c r="J90" s="57"/>
      <c r="K90" s="45"/>
      <c r="L90" s="58"/>
      <c r="M90" s="56"/>
      <c r="N90" s="57"/>
      <c r="O90" s="57"/>
      <c r="P90" s="57"/>
      <c r="Q90" s="57"/>
      <c r="R90" s="57"/>
      <c r="S90" s="57"/>
      <c r="T90" s="45"/>
      <c r="U90" s="65"/>
      <c r="V90" s="56"/>
      <c r="W90" s="57"/>
      <c r="X90" s="57"/>
      <c r="Y90" s="57"/>
      <c r="Z90" s="57"/>
      <c r="AA90" s="57"/>
      <c r="AB90" s="57"/>
      <c r="AC90" s="45"/>
      <c r="AD90" s="65"/>
      <c r="AE90" s="56"/>
      <c r="AF90" s="57"/>
      <c r="AG90" s="57"/>
      <c r="AH90" s="57"/>
      <c r="AI90" s="57"/>
      <c r="AJ90" s="57"/>
      <c r="AK90" s="57"/>
      <c r="AL90" s="45"/>
      <c r="AM90" s="65"/>
      <c r="AN90" s="56"/>
      <c r="AO90" s="57"/>
      <c r="AP90" s="57"/>
      <c r="AQ90" s="57"/>
      <c r="AR90" s="57"/>
      <c r="AS90" s="57"/>
      <c r="AT90" s="57"/>
      <c r="AU90" s="45"/>
      <c r="AV90" s="65"/>
      <c r="AW90" s="56"/>
      <c r="AX90" s="55"/>
      <c r="AY90" s="55"/>
      <c r="AZ90" s="55"/>
      <c r="BA90" s="55"/>
      <c r="BB90" s="55"/>
      <c r="BC90" s="55"/>
      <c r="BD90" s="45"/>
      <c r="BE90" s="65"/>
      <c r="BF90" s="55"/>
      <c r="BG90" s="55"/>
      <c r="BH90" s="55"/>
      <c r="BI90" s="55"/>
      <c r="BJ90" s="55"/>
      <c r="BK90" s="55"/>
      <c r="BL90" s="55"/>
      <c r="BM90" s="55"/>
    </row>
    <row r="91" spans="1:65">
      <c r="A91" s="12" t="str">
        <f>Roster!A91</f>
        <v/>
      </c>
      <c r="B91" s="28">
        <f>Roster!C91</f>
        <v>0</v>
      </c>
      <c r="C91" s="55"/>
      <c r="D91" s="56"/>
      <c r="E91" s="57"/>
      <c r="F91" s="57"/>
      <c r="G91" s="57"/>
      <c r="H91" s="57"/>
      <c r="I91" s="57"/>
      <c r="J91" s="57"/>
      <c r="K91" s="45"/>
      <c r="L91" s="58"/>
      <c r="M91" s="56"/>
      <c r="N91" s="57"/>
      <c r="O91" s="57"/>
      <c r="P91" s="57"/>
      <c r="Q91" s="57"/>
      <c r="R91" s="57"/>
      <c r="S91" s="57"/>
      <c r="T91" s="45"/>
      <c r="U91" s="65"/>
      <c r="V91" s="56"/>
      <c r="W91" s="57"/>
      <c r="X91" s="57"/>
      <c r="Y91" s="57"/>
      <c r="Z91" s="57"/>
      <c r="AA91" s="57"/>
      <c r="AB91" s="57"/>
      <c r="AC91" s="45"/>
      <c r="AD91" s="65"/>
      <c r="AE91" s="56"/>
      <c r="AF91" s="57"/>
      <c r="AG91" s="57"/>
      <c r="AH91" s="57"/>
      <c r="AI91" s="57"/>
      <c r="AJ91" s="57"/>
      <c r="AK91" s="57"/>
      <c r="AL91" s="45"/>
      <c r="AM91" s="65"/>
      <c r="AN91" s="56"/>
      <c r="AO91" s="57"/>
      <c r="AP91" s="57"/>
      <c r="AQ91" s="57"/>
      <c r="AR91" s="57"/>
      <c r="AS91" s="57"/>
      <c r="AT91" s="57"/>
      <c r="AU91" s="45"/>
      <c r="AV91" s="65"/>
      <c r="AW91" s="56"/>
      <c r="AX91" s="55"/>
      <c r="AY91" s="55"/>
      <c r="AZ91" s="55"/>
      <c r="BA91" s="55"/>
      <c r="BB91" s="55"/>
      <c r="BC91" s="55"/>
      <c r="BD91" s="45"/>
      <c r="BE91" s="65"/>
      <c r="BF91" s="55"/>
      <c r="BG91" s="55"/>
      <c r="BH91" s="55"/>
      <c r="BI91" s="55"/>
      <c r="BJ91" s="55"/>
      <c r="BK91" s="55"/>
      <c r="BL91" s="55"/>
      <c r="BM91" s="55"/>
    </row>
    <row r="92" spans="1:65">
      <c r="A92" s="12" t="str">
        <f>Roster!A92</f>
        <v/>
      </c>
      <c r="B92" s="28">
        <f>Roster!C92</f>
        <v>0</v>
      </c>
      <c r="C92" s="55"/>
      <c r="D92" s="56"/>
      <c r="E92" s="57"/>
      <c r="F92" s="57"/>
      <c r="G92" s="57"/>
      <c r="H92" s="57"/>
      <c r="I92" s="57"/>
      <c r="J92" s="57"/>
      <c r="K92" s="45"/>
      <c r="L92" s="58"/>
      <c r="M92" s="56"/>
      <c r="N92" s="57"/>
      <c r="O92" s="57"/>
      <c r="P92" s="57"/>
      <c r="Q92" s="57"/>
      <c r="R92" s="57"/>
      <c r="S92" s="57"/>
      <c r="T92" s="45"/>
      <c r="U92" s="65"/>
      <c r="V92" s="56"/>
      <c r="W92" s="57"/>
      <c r="X92" s="57"/>
      <c r="Y92" s="57"/>
      <c r="Z92" s="57"/>
      <c r="AA92" s="57"/>
      <c r="AB92" s="57"/>
      <c r="AC92" s="45"/>
      <c r="AD92" s="65"/>
      <c r="AE92" s="56"/>
      <c r="AF92" s="57"/>
      <c r="AG92" s="57"/>
      <c r="AH92" s="57"/>
      <c r="AI92" s="57"/>
      <c r="AJ92" s="57"/>
      <c r="AK92" s="57"/>
      <c r="AL92" s="45"/>
      <c r="AM92" s="65"/>
      <c r="AN92" s="56"/>
      <c r="AO92" s="57"/>
      <c r="AP92" s="57"/>
      <c r="AQ92" s="57"/>
      <c r="AR92" s="57"/>
      <c r="AS92" s="57"/>
      <c r="AT92" s="57"/>
      <c r="AU92" s="45"/>
      <c r="AV92" s="65"/>
      <c r="AW92" s="56"/>
      <c r="AX92" s="55"/>
      <c r="AY92" s="55"/>
      <c r="AZ92" s="55"/>
      <c r="BA92" s="55"/>
      <c r="BB92" s="55"/>
      <c r="BC92" s="55"/>
      <c r="BD92" s="45"/>
      <c r="BE92" s="65"/>
      <c r="BF92" s="55"/>
      <c r="BG92" s="55"/>
      <c r="BH92" s="55"/>
      <c r="BI92" s="55"/>
      <c r="BJ92" s="55"/>
      <c r="BK92" s="55"/>
      <c r="BL92" s="55"/>
      <c r="BM92" s="55"/>
    </row>
    <row r="93" spans="1:65">
      <c r="A93" s="12" t="str">
        <f>Roster!A93</f>
        <v/>
      </c>
      <c r="B93" s="28">
        <f>Roster!C93</f>
        <v>0</v>
      </c>
      <c r="C93" s="55"/>
      <c r="D93" s="56"/>
      <c r="E93" s="57"/>
      <c r="F93" s="57"/>
      <c r="G93" s="57"/>
      <c r="H93" s="57"/>
      <c r="I93" s="57"/>
      <c r="J93" s="57"/>
      <c r="K93" s="45"/>
      <c r="L93" s="58"/>
      <c r="M93" s="56"/>
      <c r="N93" s="57"/>
      <c r="O93" s="57"/>
      <c r="P93" s="57"/>
      <c r="Q93" s="57"/>
      <c r="R93" s="57"/>
      <c r="S93" s="57"/>
      <c r="T93" s="45"/>
      <c r="U93" s="65"/>
      <c r="V93" s="56"/>
      <c r="W93" s="57"/>
      <c r="X93" s="57"/>
      <c r="Y93" s="57"/>
      <c r="Z93" s="57"/>
      <c r="AA93" s="57"/>
      <c r="AB93" s="57"/>
      <c r="AC93" s="45"/>
      <c r="AD93" s="65"/>
      <c r="AE93" s="56"/>
      <c r="AF93" s="57"/>
      <c r="AG93" s="57"/>
      <c r="AH93" s="57"/>
      <c r="AI93" s="57"/>
      <c r="AJ93" s="57"/>
      <c r="AK93" s="57"/>
      <c r="AL93" s="45"/>
      <c r="AM93" s="65"/>
      <c r="AN93" s="56"/>
      <c r="AO93" s="57"/>
      <c r="AP93" s="57"/>
      <c r="AQ93" s="57"/>
      <c r="AR93" s="57"/>
      <c r="AS93" s="57"/>
      <c r="AT93" s="57"/>
      <c r="AU93" s="45"/>
      <c r="AV93" s="65"/>
      <c r="AW93" s="56"/>
      <c r="AX93" s="55"/>
      <c r="AY93" s="55"/>
      <c r="AZ93" s="55"/>
      <c r="BA93" s="55"/>
      <c r="BB93" s="55"/>
      <c r="BC93" s="55"/>
      <c r="BD93" s="45"/>
      <c r="BE93" s="65"/>
      <c r="BF93" s="55"/>
      <c r="BG93" s="55"/>
      <c r="BH93" s="55"/>
      <c r="BI93" s="55"/>
      <c r="BJ93" s="55"/>
      <c r="BK93" s="55"/>
      <c r="BL93" s="55"/>
      <c r="BM93" s="55"/>
    </row>
    <row r="94" spans="1:65">
      <c r="A94" s="12" t="str">
        <f>Roster!A94</f>
        <v/>
      </c>
      <c r="B94" s="28">
        <f>Roster!C94</f>
        <v>0</v>
      </c>
      <c r="C94" s="55"/>
      <c r="D94" s="56"/>
      <c r="E94" s="57"/>
      <c r="F94" s="57"/>
      <c r="G94" s="57"/>
      <c r="H94" s="57"/>
      <c r="I94" s="57"/>
      <c r="J94" s="57"/>
      <c r="K94" s="45"/>
      <c r="L94" s="58"/>
      <c r="M94" s="56"/>
      <c r="N94" s="57"/>
      <c r="O94" s="57"/>
      <c r="P94" s="57"/>
      <c r="Q94" s="57"/>
      <c r="R94" s="57"/>
      <c r="S94" s="57"/>
      <c r="T94" s="45"/>
      <c r="U94" s="65"/>
      <c r="V94" s="56"/>
      <c r="W94" s="57"/>
      <c r="X94" s="57"/>
      <c r="Y94" s="57"/>
      <c r="Z94" s="57"/>
      <c r="AA94" s="57"/>
      <c r="AB94" s="57"/>
      <c r="AC94" s="45"/>
      <c r="AD94" s="65"/>
      <c r="AE94" s="56"/>
      <c r="AF94" s="57"/>
      <c r="AG94" s="57"/>
      <c r="AH94" s="57"/>
      <c r="AI94" s="57"/>
      <c r="AJ94" s="57"/>
      <c r="AK94" s="57"/>
      <c r="AL94" s="45"/>
      <c r="AM94" s="65"/>
      <c r="AN94" s="56"/>
      <c r="AO94" s="57"/>
      <c r="AP94" s="57"/>
      <c r="AQ94" s="57"/>
      <c r="AR94" s="57"/>
      <c r="AS94" s="57"/>
      <c r="AT94" s="57"/>
      <c r="AU94" s="45"/>
      <c r="AV94" s="65"/>
      <c r="AW94" s="56"/>
      <c r="AX94" s="55"/>
      <c r="AY94" s="55"/>
      <c r="AZ94" s="55"/>
      <c r="BA94" s="55"/>
      <c r="BB94" s="55"/>
      <c r="BC94" s="55"/>
      <c r="BD94" s="45"/>
      <c r="BE94" s="65"/>
      <c r="BF94" s="55"/>
      <c r="BG94" s="55"/>
      <c r="BH94" s="55"/>
      <c r="BI94" s="55"/>
      <c r="BJ94" s="55"/>
      <c r="BK94" s="55"/>
      <c r="BL94" s="55"/>
      <c r="BM94" s="55"/>
    </row>
    <row r="95" spans="1:65">
      <c r="A95" s="12" t="str">
        <f>Roster!A95</f>
        <v/>
      </c>
      <c r="B95" s="28">
        <f>Roster!C95</f>
        <v>0</v>
      </c>
      <c r="C95" s="55"/>
      <c r="D95" s="56"/>
      <c r="E95" s="57"/>
      <c r="F95" s="57"/>
      <c r="G95" s="57"/>
      <c r="H95" s="57"/>
      <c r="I95" s="57"/>
      <c r="J95" s="57"/>
      <c r="K95" s="45"/>
      <c r="L95" s="58"/>
      <c r="M95" s="56"/>
      <c r="N95" s="57"/>
      <c r="O95" s="57"/>
      <c r="P95" s="57"/>
      <c r="Q95" s="57"/>
      <c r="R95" s="57"/>
      <c r="S95" s="57"/>
      <c r="T95" s="45"/>
      <c r="U95" s="65"/>
      <c r="V95" s="56"/>
      <c r="W95" s="57"/>
      <c r="X95" s="57"/>
      <c r="Y95" s="57"/>
      <c r="Z95" s="57"/>
      <c r="AA95" s="57"/>
      <c r="AB95" s="57"/>
      <c r="AC95" s="45"/>
      <c r="AD95" s="65"/>
      <c r="AE95" s="56"/>
      <c r="AF95" s="57"/>
      <c r="AG95" s="57"/>
      <c r="AH95" s="57"/>
      <c r="AI95" s="57"/>
      <c r="AJ95" s="57"/>
      <c r="AK95" s="57"/>
      <c r="AL95" s="45"/>
      <c r="AM95" s="65"/>
      <c r="AN95" s="56"/>
      <c r="AO95" s="57"/>
      <c r="AP95" s="57"/>
      <c r="AQ95" s="57"/>
      <c r="AR95" s="57"/>
      <c r="AS95" s="57"/>
      <c r="AT95" s="57"/>
      <c r="AU95" s="45"/>
      <c r="AV95" s="65"/>
      <c r="AW95" s="56"/>
      <c r="AX95" s="55"/>
      <c r="AY95" s="55"/>
      <c r="AZ95" s="55"/>
      <c r="BA95" s="55"/>
      <c r="BB95" s="55"/>
      <c r="BC95" s="55"/>
      <c r="BD95" s="45"/>
      <c r="BE95" s="65"/>
      <c r="BF95" s="55"/>
      <c r="BG95" s="55"/>
      <c r="BH95" s="55"/>
      <c r="BI95" s="55"/>
      <c r="BJ95" s="55"/>
      <c r="BK95" s="55"/>
      <c r="BL95" s="55"/>
      <c r="BM95" s="55"/>
    </row>
    <row r="96" spans="1:65">
      <c r="A96" s="12" t="str">
        <f>Roster!A96</f>
        <v/>
      </c>
      <c r="B96" s="28">
        <f>Roster!C96</f>
        <v>0</v>
      </c>
      <c r="C96" s="55"/>
      <c r="D96" s="56"/>
      <c r="E96" s="57"/>
      <c r="F96" s="57"/>
      <c r="G96" s="57"/>
      <c r="H96" s="57"/>
      <c r="I96" s="57"/>
      <c r="J96" s="57"/>
      <c r="K96" s="45"/>
      <c r="L96" s="58"/>
      <c r="M96" s="56"/>
      <c r="N96" s="57"/>
      <c r="O96" s="57"/>
      <c r="P96" s="57"/>
      <c r="Q96" s="57"/>
      <c r="R96" s="57"/>
      <c r="S96" s="57"/>
      <c r="T96" s="45"/>
      <c r="U96" s="65"/>
      <c r="V96" s="56"/>
      <c r="W96" s="57"/>
      <c r="X96" s="57"/>
      <c r="Y96" s="57"/>
      <c r="Z96" s="57"/>
      <c r="AA96" s="57"/>
      <c r="AB96" s="57"/>
      <c r="AC96" s="45"/>
      <c r="AD96" s="65"/>
      <c r="AE96" s="56"/>
      <c r="AF96" s="57"/>
      <c r="AG96" s="57"/>
      <c r="AH96" s="57"/>
      <c r="AI96" s="57"/>
      <c r="AJ96" s="57"/>
      <c r="AK96" s="57"/>
      <c r="AL96" s="45"/>
      <c r="AM96" s="65"/>
      <c r="AN96" s="56"/>
      <c r="AO96" s="57"/>
      <c r="AP96" s="57"/>
      <c r="AQ96" s="57"/>
      <c r="AR96" s="57"/>
      <c r="AS96" s="57"/>
      <c r="AT96" s="57"/>
      <c r="AU96" s="45"/>
      <c r="AV96" s="65"/>
      <c r="AW96" s="56"/>
      <c r="AX96" s="55"/>
      <c r="AY96" s="55"/>
      <c r="AZ96" s="55"/>
      <c r="BA96" s="55"/>
      <c r="BB96" s="55"/>
      <c r="BC96" s="55"/>
      <c r="BD96" s="45"/>
      <c r="BE96" s="65"/>
      <c r="BF96" s="55"/>
      <c r="BG96" s="55"/>
      <c r="BH96" s="55"/>
      <c r="BI96" s="55"/>
      <c r="BJ96" s="55"/>
      <c r="BK96" s="55"/>
      <c r="BL96" s="55"/>
      <c r="BM96" s="55"/>
    </row>
    <row r="97" spans="1:65">
      <c r="A97" s="12" t="str">
        <f>Roster!A97</f>
        <v/>
      </c>
      <c r="B97" s="28">
        <f>Roster!C97</f>
        <v>0</v>
      </c>
      <c r="C97" s="55"/>
      <c r="D97" s="56"/>
      <c r="E97" s="57"/>
      <c r="F97" s="57"/>
      <c r="G97" s="57"/>
      <c r="H97" s="57"/>
      <c r="I97" s="57"/>
      <c r="J97" s="57"/>
      <c r="K97" s="45"/>
      <c r="L97" s="58"/>
      <c r="M97" s="56"/>
      <c r="N97" s="57"/>
      <c r="O97" s="57"/>
      <c r="P97" s="57"/>
      <c r="Q97" s="57"/>
      <c r="R97" s="57"/>
      <c r="S97" s="57"/>
      <c r="T97" s="45"/>
      <c r="U97" s="65"/>
      <c r="V97" s="56"/>
      <c r="W97" s="57"/>
      <c r="X97" s="57"/>
      <c r="Y97" s="57"/>
      <c r="Z97" s="57"/>
      <c r="AA97" s="57"/>
      <c r="AB97" s="57"/>
      <c r="AC97" s="45"/>
      <c r="AD97" s="65"/>
      <c r="AE97" s="56"/>
      <c r="AF97" s="57"/>
      <c r="AG97" s="57"/>
      <c r="AH97" s="57"/>
      <c r="AI97" s="57"/>
      <c r="AJ97" s="57"/>
      <c r="AK97" s="57"/>
      <c r="AL97" s="45"/>
      <c r="AM97" s="65"/>
      <c r="AN97" s="56"/>
      <c r="AO97" s="57"/>
      <c r="AP97" s="57"/>
      <c r="AQ97" s="57"/>
      <c r="AR97" s="57"/>
      <c r="AS97" s="57"/>
      <c r="AT97" s="57"/>
      <c r="AU97" s="45"/>
      <c r="AV97" s="65"/>
      <c r="AW97" s="56"/>
      <c r="AX97" s="55"/>
      <c r="AY97" s="55"/>
      <c r="AZ97" s="55"/>
      <c r="BA97" s="55"/>
      <c r="BB97" s="55"/>
      <c r="BC97" s="55"/>
      <c r="BD97" s="45"/>
      <c r="BE97" s="65"/>
      <c r="BF97" s="55"/>
      <c r="BG97" s="55"/>
      <c r="BH97" s="55"/>
      <c r="BI97" s="55"/>
      <c r="BJ97" s="55"/>
      <c r="BK97" s="55"/>
      <c r="BL97" s="55"/>
      <c r="BM97" s="55"/>
    </row>
    <row r="98" spans="1:65">
      <c r="A98" s="12" t="str">
        <f>Roster!A98</f>
        <v/>
      </c>
      <c r="B98" s="28">
        <f>Roster!C98</f>
        <v>0</v>
      </c>
      <c r="C98" s="55"/>
      <c r="D98" s="56"/>
      <c r="E98" s="57"/>
      <c r="F98" s="57"/>
      <c r="G98" s="57"/>
      <c r="H98" s="57"/>
      <c r="I98" s="57"/>
      <c r="J98" s="57"/>
      <c r="K98" s="45"/>
      <c r="L98" s="58"/>
      <c r="M98" s="56"/>
      <c r="N98" s="57"/>
      <c r="O98" s="57"/>
      <c r="P98" s="57"/>
      <c r="Q98" s="57"/>
      <c r="R98" s="57"/>
      <c r="S98" s="57"/>
      <c r="T98" s="45"/>
      <c r="U98" s="65"/>
      <c r="V98" s="56"/>
      <c r="W98" s="57"/>
      <c r="X98" s="57"/>
      <c r="Y98" s="57"/>
      <c r="Z98" s="57"/>
      <c r="AA98" s="57"/>
      <c r="AB98" s="57"/>
      <c r="AC98" s="45"/>
      <c r="AD98" s="65"/>
      <c r="AE98" s="56"/>
      <c r="AF98" s="57"/>
      <c r="AG98" s="57"/>
      <c r="AH98" s="57"/>
      <c r="AI98" s="57"/>
      <c r="AJ98" s="57"/>
      <c r="AK98" s="57"/>
      <c r="AL98" s="45"/>
      <c r="AM98" s="65"/>
      <c r="AN98" s="56"/>
      <c r="AO98" s="57"/>
      <c r="AP98" s="57"/>
      <c r="AQ98" s="57"/>
      <c r="AR98" s="57"/>
      <c r="AS98" s="57"/>
      <c r="AT98" s="57"/>
      <c r="AU98" s="45"/>
      <c r="AV98" s="65"/>
      <c r="AW98" s="56"/>
      <c r="AX98" s="55"/>
      <c r="AY98" s="55"/>
      <c r="AZ98" s="55"/>
      <c r="BA98" s="55"/>
      <c r="BB98" s="55"/>
      <c r="BC98" s="55"/>
      <c r="BD98" s="45"/>
      <c r="BE98" s="65"/>
      <c r="BF98" s="55"/>
      <c r="BG98" s="55"/>
      <c r="BH98" s="55"/>
      <c r="BI98" s="55"/>
      <c r="BJ98" s="55"/>
      <c r="BK98" s="55"/>
      <c r="BL98" s="55"/>
      <c r="BM98" s="55"/>
    </row>
    <row r="99" spans="1:65">
      <c r="A99" s="12" t="str">
        <f>Roster!A99</f>
        <v/>
      </c>
      <c r="B99" s="28">
        <f>Roster!C99</f>
        <v>0</v>
      </c>
      <c r="C99" s="55"/>
      <c r="D99" s="56"/>
      <c r="E99" s="57"/>
      <c r="F99" s="57"/>
      <c r="G99" s="57"/>
      <c r="H99" s="57"/>
      <c r="I99" s="57"/>
      <c r="J99" s="57"/>
      <c r="K99" s="45"/>
      <c r="L99" s="58"/>
      <c r="M99" s="56"/>
      <c r="N99" s="57"/>
      <c r="O99" s="57"/>
      <c r="P99" s="57"/>
      <c r="Q99" s="57"/>
      <c r="R99" s="57"/>
      <c r="S99" s="57"/>
      <c r="T99" s="45"/>
      <c r="U99" s="65"/>
      <c r="V99" s="56"/>
      <c r="W99" s="57"/>
      <c r="X99" s="57"/>
      <c r="Y99" s="57"/>
      <c r="Z99" s="57"/>
      <c r="AA99" s="57"/>
      <c r="AB99" s="57"/>
      <c r="AC99" s="45"/>
      <c r="AD99" s="65"/>
      <c r="AE99" s="56"/>
      <c r="AF99" s="57"/>
      <c r="AG99" s="57"/>
      <c r="AH99" s="57"/>
      <c r="AI99" s="57"/>
      <c r="AJ99" s="57"/>
      <c r="AK99" s="57"/>
      <c r="AL99" s="45"/>
      <c r="AM99" s="65"/>
      <c r="AN99" s="56"/>
      <c r="AO99" s="57"/>
      <c r="AP99" s="57"/>
      <c r="AQ99" s="57"/>
      <c r="AR99" s="57"/>
      <c r="AS99" s="57"/>
      <c r="AT99" s="57"/>
      <c r="AU99" s="45"/>
      <c r="AV99" s="65"/>
      <c r="AW99" s="56"/>
      <c r="AX99" s="55"/>
      <c r="AY99" s="55"/>
      <c r="AZ99" s="55"/>
      <c r="BA99" s="55"/>
      <c r="BB99" s="55"/>
      <c r="BC99" s="55"/>
      <c r="BD99" s="45"/>
      <c r="BE99" s="65"/>
      <c r="BF99" s="55"/>
      <c r="BG99" s="55"/>
      <c r="BH99" s="55"/>
      <c r="BI99" s="55"/>
      <c r="BJ99" s="55"/>
      <c r="BK99" s="55"/>
      <c r="BL99" s="55"/>
      <c r="BM99" s="55"/>
    </row>
    <row r="100" spans="1:65">
      <c r="A100" s="12" t="str">
        <f>Roster!A100</f>
        <v/>
      </c>
      <c r="B100" s="28">
        <f>Roster!C100</f>
        <v>0</v>
      </c>
      <c r="C100" s="55"/>
      <c r="D100" s="56"/>
      <c r="E100" s="57"/>
      <c r="F100" s="57"/>
      <c r="G100" s="57"/>
      <c r="H100" s="57"/>
      <c r="I100" s="57"/>
      <c r="J100" s="57"/>
      <c r="K100" s="45"/>
      <c r="L100" s="58"/>
      <c r="M100" s="56"/>
      <c r="N100" s="57"/>
      <c r="O100" s="57"/>
      <c r="P100" s="57"/>
      <c r="Q100" s="57"/>
      <c r="R100" s="57"/>
      <c r="S100" s="57"/>
      <c r="T100" s="45"/>
      <c r="U100" s="65"/>
      <c r="V100" s="56"/>
      <c r="W100" s="57"/>
      <c r="X100" s="57"/>
      <c r="Y100" s="57"/>
      <c r="Z100" s="57"/>
      <c r="AA100" s="57"/>
      <c r="AB100" s="57"/>
      <c r="AC100" s="45"/>
      <c r="AD100" s="65"/>
      <c r="AE100" s="56"/>
      <c r="AF100" s="57"/>
      <c r="AG100" s="57"/>
      <c r="AH100" s="57"/>
      <c r="AI100" s="57"/>
      <c r="AJ100" s="57"/>
      <c r="AK100" s="57"/>
      <c r="AL100" s="45"/>
      <c r="AM100" s="65"/>
      <c r="AN100" s="56"/>
      <c r="AO100" s="57"/>
      <c r="AP100" s="57"/>
      <c r="AQ100" s="57"/>
      <c r="AR100" s="57"/>
      <c r="AS100" s="57"/>
      <c r="AT100" s="57"/>
      <c r="AU100" s="45"/>
      <c r="AV100" s="65"/>
      <c r="AW100" s="56"/>
      <c r="AX100" s="55"/>
      <c r="AY100" s="55"/>
      <c r="AZ100" s="55"/>
      <c r="BA100" s="55"/>
      <c r="BB100" s="55"/>
      <c r="BC100" s="55"/>
      <c r="BD100" s="45"/>
      <c r="BE100" s="65"/>
      <c r="BF100" s="55"/>
      <c r="BG100" s="55"/>
      <c r="BH100" s="55"/>
      <c r="BI100" s="55"/>
      <c r="BJ100" s="55"/>
      <c r="BK100" s="55"/>
      <c r="BL100" s="55"/>
      <c r="BM100" s="55"/>
    </row>
    <row r="101" spans="1:65">
      <c r="A101" s="12" t="str">
        <f>Roster!A101</f>
        <v/>
      </c>
      <c r="B101" s="28">
        <f>Roster!C101</f>
        <v>0</v>
      </c>
      <c r="C101" s="55"/>
      <c r="D101" s="56"/>
      <c r="E101" s="57"/>
      <c r="F101" s="57"/>
      <c r="G101" s="57"/>
      <c r="H101" s="57"/>
      <c r="I101" s="57"/>
      <c r="J101" s="57"/>
      <c r="K101" s="45"/>
      <c r="L101" s="58"/>
      <c r="M101" s="56"/>
      <c r="N101" s="57"/>
      <c r="O101" s="57"/>
      <c r="P101" s="57"/>
      <c r="Q101" s="57"/>
      <c r="R101" s="57"/>
      <c r="S101" s="57"/>
      <c r="T101" s="45"/>
      <c r="U101" s="65"/>
      <c r="V101" s="56"/>
      <c r="W101" s="57"/>
      <c r="X101" s="57"/>
      <c r="Y101" s="57"/>
      <c r="Z101" s="57"/>
      <c r="AA101" s="57"/>
      <c r="AB101" s="57"/>
      <c r="AC101" s="45"/>
      <c r="AD101" s="65"/>
      <c r="AE101" s="56"/>
      <c r="AF101" s="57"/>
      <c r="AG101" s="57"/>
      <c r="AH101" s="57"/>
      <c r="AI101" s="57"/>
      <c r="AJ101" s="57"/>
      <c r="AK101" s="57"/>
      <c r="AL101" s="45"/>
      <c r="AM101" s="65"/>
      <c r="AN101" s="56"/>
      <c r="AO101" s="57"/>
      <c r="AP101" s="57"/>
      <c r="AQ101" s="57"/>
      <c r="AR101" s="57"/>
      <c r="AS101" s="57"/>
      <c r="AT101" s="57"/>
      <c r="AU101" s="45"/>
      <c r="AV101" s="65"/>
      <c r="AW101" s="56"/>
      <c r="AX101" s="55"/>
      <c r="AY101" s="55"/>
      <c r="AZ101" s="55"/>
      <c r="BA101" s="55"/>
      <c r="BB101" s="55"/>
      <c r="BC101" s="55"/>
      <c r="BD101" s="45"/>
      <c r="BE101" s="65"/>
      <c r="BF101" s="55"/>
      <c r="BG101" s="55"/>
      <c r="BH101" s="55"/>
      <c r="BI101" s="55"/>
      <c r="BJ101" s="55"/>
      <c r="BK101" s="55"/>
      <c r="BL101" s="55"/>
      <c r="BM101" s="55"/>
    </row>
    <row r="102" spans="1:65">
      <c r="A102" s="11" t="str">
        <f>Roster!A102</f>
        <v/>
      </c>
      <c r="B102" s="38">
        <f>Roster!C102</f>
        <v>0</v>
      </c>
      <c r="C102" s="67"/>
      <c r="D102" s="68"/>
      <c r="E102" s="40"/>
      <c r="F102" s="40"/>
      <c r="G102" s="40"/>
      <c r="H102" s="40"/>
      <c r="I102" s="40"/>
      <c r="J102" s="40"/>
      <c r="K102" s="47"/>
      <c r="L102" s="69"/>
      <c r="M102" s="68"/>
      <c r="N102" s="40"/>
      <c r="O102" s="40"/>
      <c r="P102" s="40"/>
      <c r="Q102" s="40"/>
      <c r="R102" s="40"/>
      <c r="S102" s="40"/>
      <c r="T102" s="47"/>
      <c r="U102" s="70"/>
      <c r="V102" s="68"/>
      <c r="W102" s="40"/>
      <c r="X102" s="40"/>
      <c r="Y102" s="40"/>
      <c r="Z102" s="40"/>
      <c r="AA102" s="40"/>
      <c r="AB102" s="40"/>
      <c r="AC102" s="47"/>
      <c r="AD102" s="70"/>
      <c r="AE102" s="68"/>
      <c r="AF102" s="40"/>
      <c r="AG102" s="40"/>
      <c r="AH102" s="40"/>
      <c r="AI102" s="40"/>
      <c r="AJ102" s="40"/>
      <c r="AK102" s="40"/>
      <c r="AL102" s="47"/>
      <c r="AM102" s="70"/>
      <c r="AN102" s="68"/>
      <c r="AO102" s="40"/>
      <c r="AP102" s="40"/>
      <c r="AQ102" s="40"/>
      <c r="AR102" s="40"/>
      <c r="AS102" s="40"/>
      <c r="AT102" s="40"/>
      <c r="AU102" s="47"/>
      <c r="AV102" s="70"/>
      <c r="AW102" s="68"/>
      <c r="AX102" s="67"/>
      <c r="AY102" s="67"/>
      <c r="AZ102" s="67"/>
      <c r="BA102" s="67"/>
      <c r="BB102" s="67"/>
      <c r="BC102" s="67"/>
      <c r="BD102" s="47"/>
      <c r="BE102" s="70"/>
      <c r="BF102" s="67"/>
      <c r="BG102" s="67"/>
      <c r="BH102" s="67"/>
      <c r="BI102" s="67"/>
      <c r="BJ102" s="67"/>
      <c r="BK102" s="67"/>
      <c r="BL102" s="67"/>
      <c r="BM102" s="67"/>
    </row>
    <row r="103" spans="1:65">
      <c r="A103" s="12" t="str">
        <f>Roster!A103</f>
        <v/>
      </c>
      <c r="B103" s="28">
        <f>Roster!C103</f>
        <v>0</v>
      </c>
      <c r="C103" s="55"/>
      <c r="D103" s="56"/>
      <c r="E103" s="57"/>
      <c r="F103" s="57"/>
      <c r="G103" s="57"/>
      <c r="H103" s="57"/>
      <c r="I103" s="57"/>
      <c r="J103" s="57"/>
      <c r="K103" s="45"/>
      <c r="L103" s="58"/>
      <c r="M103" s="56"/>
      <c r="N103" s="57"/>
      <c r="O103" s="57"/>
      <c r="P103" s="57"/>
      <c r="Q103" s="57"/>
      <c r="R103" s="57"/>
      <c r="S103" s="57"/>
      <c r="T103" s="45"/>
      <c r="U103" s="65"/>
      <c r="V103" s="56"/>
      <c r="W103" s="57"/>
      <c r="X103" s="57"/>
      <c r="Y103" s="57"/>
      <c r="Z103" s="57"/>
      <c r="AA103" s="57"/>
      <c r="AB103" s="57"/>
      <c r="AC103" s="45"/>
      <c r="AD103" s="65"/>
      <c r="AE103" s="56"/>
      <c r="AF103" s="57"/>
      <c r="AG103" s="57"/>
      <c r="AH103" s="57"/>
      <c r="AI103" s="57"/>
      <c r="AJ103" s="57"/>
      <c r="AK103" s="57"/>
      <c r="AL103" s="45"/>
      <c r="AM103" s="65"/>
      <c r="AN103" s="56"/>
      <c r="AO103" s="57"/>
      <c r="AP103" s="57"/>
      <c r="AQ103" s="57"/>
      <c r="AR103" s="57"/>
      <c r="AS103" s="57"/>
      <c r="AT103" s="57"/>
      <c r="AU103" s="45"/>
      <c r="AV103" s="65"/>
      <c r="AW103" s="56"/>
      <c r="AX103" s="55"/>
      <c r="AY103" s="55"/>
      <c r="AZ103" s="55"/>
      <c r="BA103" s="55"/>
      <c r="BB103" s="55"/>
      <c r="BC103" s="55"/>
      <c r="BD103" s="45"/>
      <c r="BE103" s="65"/>
      <c r="BF103" s="55"/>
      <c r="BG103" s="55"/>
      <c r="BH103" s="55"/>
      <c r="BI103" s="55"/>
      <c r="BJ103" s="55"/>
      <c r="BK103" s="55"/>
      <c r="BL103" s="55"/>
      <c r="BM103" s="55"/>
    </row>
    <row r="104" spans="1:65">
      <c r="A104" s="12" t="str">
        <f>Roster!A104</f>
        <v/>
      </c>
      <c r="B104" s="28">
        <f>Roster!C104</f>
        <v>0</v>
      </c>
      <c r="C104" s="55"/>
      <c r="D104" s="56"/>
      <c r="E104" s="57"/>
      <c r="F104" s="57"/>
      <c r="G104" s="57"/>
      <c r="H104" s="57"/>
      <c r="I104" s="57"/>
      <c r="J104" s="57"/>
      <c r="K104" s="45"/>
      <c r="L104" s="58"/>
      <c r="M104" s="56"/>
      <c r="N104" s="57"/>
      <c r="O104" s="57"/>
      <c r="P104" s="57"/>
      <c r="Q104" s="57"/>
      <c r="R104" s="57"/>
      <c r="S104" s="57"/>
      <c r="T104" s="45"/>
      <c r="U104" s="65"/>
      <c r="V104" s="56"/>
      <c r="W104" s="57"/>
      <c r="X104" s="57"/>
      <c r="Y104" s="57"/>
      <c r="Z104" s="57"/>
      <c r="AA104" s="57"/>
      <c r="AB104" s="57"/>
      <c r="AC104" s="45"/>
      <c r="AD104" s="65"/>
      <c r="AE104" s="56"/>
      <c r="AF104" s="57"/>
      <c r="AG104" s="57"/>
      <c r="AH104" s="57"/>
      <c r="AI104" s="57"/>
      <c r="AJ104" s="57"/>
      <c r="AK104" s="57"/>
      <c r="AL104" s="45"/>
      <c r="AM104" s="65"/>
      <c r="AN104" s="56"/>
      <c r="AO104" s="57"/>
      <c r="AP104" s="57"/>
      <c r="AQ104" s="57"/>
      <c r="AR104" s="57"/>
      <c r="AS104" s="57"/>
      <c r="AT104" s="57"/>
      <c r="AU104" s="45"/>
      <c r="AV104" s="65"/>
      <c r="AW104" s="56"/>
      <c r="AX104" s="55"/>
      <c r="AY104" s="55"/>
      <c r="AZ104" s="55"/>
      <c r="BA104" s="55"/>
      <c r="BB104" s="55"/>
      <c r="BC104" s="55"/>
      <c r="BD104" s="45"/>
      <c r="BE104" s="65"/>
      <c r="BF104" s="55"/>
      <c r="BG104" s="55"/>
      <c r="BH104" s="55"/>
      <c r="BI104" s="55"/>
      <c r="BJ104" s="55"/>
      <c r="BK104" s="55"/>
      <c r="BL104" s="55"/>
      <c r="BM104" s="55"/>
    </row>
    <row r="105" spans="1:65">
      <c r="A105" s="12" t="str">
        <f>Roster!A105</f>
        <v/>
      </c>
      <c r="B105" s="28">
        <f>Roster!C105</f>
        <v>0</v>
      </c>
      <c r="C105" s="55"/>
      <c r="D105" s="56"/>
      <c r="E105" s="57"/>
      <c r="F105" s="57"/>
      <c r="G105" s="57"/>
      <c r="H105" s="57"/>
      <c r="I105" s="57"/>
      <c r="J105" s="57"/>
      <c r="K105" s="45"/>
      <c r="L105" s="58"/>
      <c r="M105" s="56"/>
      <c r="N105" s="57"/>
      <c r="O105" s="57"/>
      <c r="P105" s="57"/>
      <c r="Q105" s="57"/>
      <c r="R105" s="57"/>
      <c r="S105" s="57"/>
      <c r="T105" s="45"/>
      <c r="U105" s="65"/>
      <c r="V105" s="56"/>
      <c r="W105" s="57"/>
      <c r="X105" s="57"/>
      <c r="Y105" s="57"/>
      <c r="Z105" s="57"/>
      <c r="AA105" s="57"/>
      <c r="AB105" s="57"/>
      <c r="AC105" s="45"/>
      <c r="AD105" s="65"/>
      <c r="AE105" s="56"/>
      <c r="AF105" s="57"/>
      <c r="AG105" s="57"/>
      <c r="AH105" s="57"/>
      <c r="AI105" s="57"/>
      <c r="AJ105" s="57"/>
      <c r="AK105" s="57"/>
      <c r="AL105" s="45"/>
      <c r="AM105" s="65"/>
      <c r="AN105" s="56"/>
      <c r="AO105" s="57"/>
      <c r="AP105" s="57"/>
      <c r="AQ105" s="57"/>
      <c r="AR105" s="57"/>
      <c r="AS105" s="57"/>
      <c r="AT105" s="57"/>
      <c r="AU105" s="45"/>
      <c r="AV105" s="65"/>
      <c r="AW105" s="56"/>
      <c r="AX105" s="55"/>
      <c r="AY105" s="55"/>
      <c r="AZ105" s="55"/>
      <c r="BA105" s="55"/>
      <c r="BB105" s="55"/>
      <c r="BC105" s="55"/>
      <c r="BD105" s="45"/>
      <c r="BE105" s="65"/>
      <c r="BF105" s="55"/>
      <c r="BG105" s="55"/>
      <c r="BH105" s="55"/>
      <c r="BI105" s="55"/>
      <c r="BJ105" s="55"/>
      <c r="BK105" s="55"/>
      <c r="BL105" s="55"/>
      <c r="BM105" s="55"/>
    </row>
    <row r="106" spans="1:65">
      <c r="A106" s="12" t="str">
        <f>Roster!A106</f>
        <v/>
      </c>
      <c r="B106" s="28">
        <f>Roster!C106</f>
        <v>0</v>
      </c>
      <c r="C106" s="55"/>
      <c r="D106" s="56"/>
      <c r="E106" s="57"/>
      <c r="F106" s="57"/>
      <c r="G106" s="57"/>
      <c r="H106" s="57"/>
      <c r="I106" s="57"/>
      <c r="J106" s="57"/>
      <c r="K106" s="45"/>
      <c r="L106" s="58"/>
      <c r="M106" s="56"/>
      <c r="N106" s="57"/>
      <c r="O106" s="57"/>
      <c r="P106" s="57"/>
      <c r="Q106" s="57"/>
      <c r="R106" s="57"/>
      <c r="S106" s="57"/>
      <c r="T106" s="45"/>
      <c r="U106" s="65"/>
      <c r="V106" s="56"/>
      <c r="W106" s="57"/>
      <c r="X106" s="57"/>
      <c r="Y106" s="57"/>
      <c r="Z106" s="57"/>
      <c r="AA106" s="57"/>
      <c r="AB106" s="57"/>
      <c r="AC106" s="45"/>
      <c r="AD106" s="65"/>
      <c r="AE106" s="56"/>
      <c r="AF106" s="57"/>
      <c r="AG106" s="57"/>
      <c r="AH106" s="57"/>
      <c r="AI106" s="57"/>
      <c r="AJ106" s="57"/>
      <c r="AK106" s="57"/>
      <c r="AL106" s="45"/>
      <c r="AM106" s="65"/>
      <c r="AN106" s="56"/>
      <c r="AO106" s="57"/>
      <c r="AP106" s="57"/>
      <c r="AQ106" s="57"/>
      <c r="AR106" s="57"/>
      <c r="AS106" s="57"/>
      <c r="AT106" s="57"/>
      <c r="AU106" s="45"/>
      <c r="AV106" s="65"/>
      <c r="AW106" s="56"/>
      <c r="AX106" s="55"/>
      <c r="AY106" s="55"/>
      <c r="AZ106" s="55"/>
      <c r="BA106" s="55"/>
      <c r="BB106" s="55"/>
      <c r="BC106" s="55"/>
      <c r="BD106" s="45"/>
      <c r="BE106" s="65"/>
      <c r="BF106" s="55"/>
      <c r="BG106" s="55"/>
      <c r="BH106" s="55"/>
      <c r="BI106" s="55"/>
      <c r="BJ106" s="55"/>
      <c r="BK106" s="55"/>
      <c r="BL106" s="55"/>
      <c r="BM106" s="55"/>
    </row>
    <row r="107" spans="1:65">
      <c r="A107" s="12" t="str">
        <f>Roster!A107</f>
        <v/>
      </c>
      <c r="B107" s="28">
        <f>Roster!C107</f>
        <v>0</v>
      </c>
      <c r="C107" s="55"/>
      <c r="D107" s="56"/>
      <c r="E107" s="57"/>
      <c r="F107" s="57"/>
      <c r="G107" s="57"/>
      <c r="H107" s="57"/>
      <c r="I107" s="57"/>
      <c r="J107" s="57"/>
      <c r="K107" s="45"/>
      <c r="L107" s="58"/>
      <c r="M107" s="56"/>
      <c r="N107" s="57"/>
      <c r="O107" s="57"/>
      <c r="P107" s="57"/>
      <c r="Q107" s="57"/>
      <c r="R107" s="57"/>
      <c r="S107" s="57"/>
      <c r="T107" s="45"/>
      <c r="U107" s="65"/>
      <c r="V107" s="56"/>
      <c r="W107" s="57"/>
      <c r="X107" s="57"/>
      <c r="Y107" s="57"/>
      <c r="Z107" s="57"/>
      <c r="AA107" s="57"/>
      <c r="AB107" s="57"/>
      <c r="AC107" s="45"/>
      <c r="AD107" s="65"/>
      <c r="AE107" s="56"/>
      <c r="AF107" s="57"/>
      <c r="AG107" s="57"/>
      <c r="AH107" s="57"/>
      <c r="AI107" s="57"/>
      <c r="AJ107" s="57"/>
      <c r="AK107" s="57"/>
      <c r="AL107" s="45"/>
      <c r="AM107" s="65"/>
      <c r="AN107" s="56"/>
      <c r="AO107" s="57"/>
      <c r="AP107" s="57"/>
      <c r="AQ107" s="57"/>
      <c r="AR107" s="57"/>
      <c r="AS107" s="57"/>
      <c r="AT107" s="57"/>
      <c r="AU107" s="45"/>
      <c r="AV107" s="65"/>
      <c r="AW107" s="56"/>
      <c r="AX107" s="55"/>
      <c r="AY107" s="55"/>
      <c r="AZ107" s="55"/>
      <c r="BA107" s="55"/>
      <c r="BB107" s="55"/>
      <c r="BC107" s="55"/>
      <c r="BD107" s="45"/>
      <c r="BE107" s="65"/>
      <c r="BF107" s="55"/>
      <c r="BG107" s="55"/>
      <c r="BH107" s="55"/>
      <c r="BI107" s="55"/>
      <c r="BJ107" s="55"/>
      <c r="BK107" s="55"/>
      <c r="BL107" s="55"/>
      <c r="BM107" s="55"/>
    </row>
    <row r="108" spans="1:65">
      <c r="A108" s="12" t="str">
        <f>Roster!A108</f>
        <v/>
      </c>
      <c r="B108" s="28">
        <f>Roster!C108</f>
        <v>0</v>
      </c>
      <c r="C108" s="55"/>
      <c r="D108" s="56"/>
      <c r="E108" s="57"/>
      <c r="F108" s="57"/>
      <c r="G108" s="57"/>
      <c r="H108" s="57"/>
      <c r="I108" s="57"/>
      <c r="J108" s="57"/>
      <c r="K108" s="45"/>
      <c r="L108" s="58"/>
      <c r="M108" s="56"/>
      <c r="N108" s="57"/>
      <c r="O108" s="57"/>
      <c r="P108" s="57"/>
      <c r="Q108" s="57"/>
      <c r="R108" s="57"/>
      <c r="S108" s="57"/>
      <c r="T108" s="45"/>
      <c r="U108" s="65"/>
      <c r="V108" s="56"/>
      <c r="W108" s="57"/>
      <c r="X108" s="57"/>
      <c r="Y108" s="57"/>
      <c r="Z108" s="57"/>
      <c r="AA108" s="57"/>
      <c r="AB108" s="57"/>
      <c r="AC108" s="45"/>
      <c r="AD108" s="65"/>
      <c r="AE108" s="56"/>
      <c r="AF108" s="57"/>
      <c r="AG108" s="57"/>
      <c r="AH108" s="57"/>
      <c r="AI108" s="57"/>
      <c r="AJ108" s="57"/>
      <c r="AK108" s="57"/>
      <c r="AL108" s="45"/>
      <c r="AM108" s="65"/>
      <c r="AN108" s="56"/>
      <c r="AO108" s="57"/>
      <c r="AP108" s="57"/>
      <c r="AQ108" s="57"/>
      <c r="AR108" s="57"/>
      <c r="AS108" s="57"/>
      <c r="AT108" s="57"/>
      <c r="AU108" s="45"/>
      <c r="AV108" s="65"/>
      <c r="AW108" s="56"/>
      <c r="AX108" s="55"/>
      <c r="AY108" s="55"/>
      <c r="AZ108" s="55"/>
      <c r="BA108" s="55"/>
      <c r="BB108" s="55"/>
      <c r="BC108" s="55"/>
      <c r="BD108" s="45"/>
      <c r="BE108" s="65"/>
      <c r="BF108" s="55"/>
      <c r="BG108" s="55"/>
      <c r="BH108" s="55"/>
      <c r="BI108" s="55"/>
      <c r="BJ108" s="55"/>
      <c r="BK108" s="55"/>
      <c r="BL108" s="55"/>
      <c r="BM108" s="55"/>
    </row>
    <row r="109" spans="1:65">
      <c r="A109" s="12" t="str">
        <f>Roster!A109</f>
        <v/>
      </c>
      <c r="B109" s="28">
        <f>Roster!C109</f>
        <v>0</v>
      </c>
      <c r="C109" s="55"/>
      <c r="D109" s="56"/>
      <c r="E109" s="57"/>
      <c r="F109" s="57"/>
      <c r="G109" s="57"/>
      <c r="H109" s="57"/>
      <c r="I109" s="57"/>
      <c r="J109" s="57"/>
      <c r="K109" s="45"/>
      <c r="L109" s="58"/>
      <c r="M109" s="56"/>
      <c r="N109" s="57"/>
      <c r="O109" s="57"/>
      <c r="P109" s="57"/>
      <c r="Q109" s="57"/>
      <c r="R109" s="57"/>
      <c r="S109" s="57"/>
      <c r="T109" s="45"/>
      <c r="U109" s="65"/>
      <c r="V109" s="56"/>
      <c r="W109" s="57"/>
      <c r="X109" s="57"/>
      <c r="Y109" s="57"/>
      <c r="Z109" s="57"/>
      <c r="AA109" s="57"/>
      <c r="AB109" s="57"/>
      <c r="AC109" s="45"/>
      <c r="AD109" s="65"/>
      <c r="AE109" s="56"/>
      <c r="AF109" s="57"/>
      <c r="AG109" s="57"/>
      <c r="AH109" s="57"/>
      <c r="AI109" s="57"/>
      <c r="AJ109" s="57"/>
      <c r="AK109" s="57"/>
      <c r="AL109" s="45"/>
      <c r="AM109" s="65"/>
      <c r="AN109" s="56"/>
      <c r="AO109" s="57"/>
      <c r="AP109" s="57"/>
      <c r="AQ109" s="57"/>
      <c r="AR109" s="57"/>
      <c r="AS109" s="57"/>
      <c r="AT109" s="57"/>
      <c r="AU109" s="45"/>
      <c r="AV109" s="65"/>
      <c r="AW109" s="56"/>
      <c r="AX109" s="55"/>
      <c r="AY109" s="55"/>
      <c r="AZ109" s="55"/>
      <c r="BA109" s="55"/>
      <c r="BB109" s="55"/>
      <c r="BC109" s="55"/>
      <c r="BD109" s="45"/>
      <c r="BE109" s="65"/>
      <c r="BF109" s="55"/>
      <c r="BG109" s="55"/>
      <c r="BH109" s="55"/>
      <c r="BI109" s="55"/>
      <c r="BJ109" s="55"/>
      <c r="BK109" s="55"/>
      <c r="BL109" s="55"/>
      <c r="BM109" s="55"/>
    </row>
    <row r="110" spans="1:65">
      <c r="A110" s="12" t="str">
        <f>Roster!A110</f>
        <v/>
      </c>
      <c r="B110" s="28">
        <f>Roster!C110</f>
        <v>0</v>
      </c>
      <c r="C110" s="55"/>
      <c r="D110" s="56"/>
      <c r="E110" s="57"/>
      <c r="F110" s="57"/>
      <c r="G110" s="57"/>
      <c r="H110" s="57"/>
      <c r="I110" s="57"/>
      <c r="J110" s="57"/>
      <c r="K110" s="45"/>
      <c r="L110" s="58"/>
      <c r="M110" s="56"/>
      <c r="N110" s="57"/>
      <c r="O110" s="57"/>
      <c r="P110" s="57"/>
      <c r="Q110" s="57"/>
      <c r="R110" s="57"/>
      <c r="S110" s="57"/>
      <c r="T110" s="45"/>
      <c r="U110" s="65"/>
      <c r="V110" s="56"/>
      <c r="W110" s="57"/>
      <c r="X110" s="57"/>
      <c r="Y110" s="57"/>
      <c r="Z110" s="57"/>
      <c r="AA110" s="57"/>
      <c r="AB110" s="57"/>
      <c r="AC110" s="45"/>
      <c r="AD110" s="65"/>
      <c r="AE110" s="56"/>
      <c r="AF110" s="57"/>
      <c r="AG110" s="57"/>
      <c r="AH110" s="57"/>
      <c r="AI110" s="57"/>
      <c r="AJ110" s="57"/>
      <c r="AK110" s="57"/>
      <c r="AL110" s="45"/>
      <c r="AM110" s="65"/>
      <c r="AN110" s="56"/>
      <c r="AO110" s="57"/>
      <c r="AP110" s="57"/>
      <c r="AQ110" s="57"/>
      <c r="AR110" s="57"/>
      <c r="AS110" s="57"/>
      <c r="AT110" s="57"/>
      <c r="AU110" s="45"/>
      <c r="AV110" s="65"/>
      <c r="AW110" s="56"/>
      <c r="AX110" s="55"/>
      <c r="AY110" s="55"/>
      <c r="AZ110" s="55"/>
      <c r="BA110" s="55"/>
      <c r="BB110" s="55"/>
      <c r="BC110" s="55"/>
      <c r="BD110" s="45"/>
      <c r="BE110" s="65"/>
      <c r="BF110" s="55"/>
      <c r="BG110" s="55"/>
      <c r="BH110" s="55"/>
      <c r="BI110" s="55"/>
      <c r="BJ110" s="55"/>
      <c r="BK110" s="55"/>
      <c r="BL110" s="55"/>
      <c r="BM110" s="55"/>
    </row>
    <row r="111" spans="1:65">
      <c r="A111" s="12" t="str">
        <f>Roster!A111</f>
        <v/>
      </c>
      <c r="B111" s="28">
        <f>Roster!C111</f>
        <v>0</v>
      </c>
      <c r="C111" s="55"/>
      <c r="D111" s="56"/>
      <c r="E111" s="57"/>
      <c r="F111" s="57"/>
      <c r="G111" s="57"/>
      <c r="H111" s="57"/>
      <c r="I111" s="57"/>
      <c r="J111" s="57"/>
      <c r="K111" s="45"/>
      <c r="L111" s="58"/>
      <c r="M111" s="56"/>
      <c r="N111" s="57"/>
      <c r="O111" s="57"/>
      <c r="P111" s="57"/>
      <c r="Q111" s="57"/>
      <c r="R111" s="57"/>
      <c r="S111" s="57"/>
      <c r="T111" s="45"/>
      <c r="U111" s="65"/>
      <c r="V111" s="56"/>
      <c r="W111" s="57"/>
      <c r="X111" s="57"/>
      <c r="Y111" s="57"/>
      <c r="Z111" s="57"/>
      <c r="AA111" s="57"/>
      <c r="AB111" s="57"/>
      <c r="AC111" s="45"/>
      <c r="AD111" s="65"/>
      <c r="AE111" s="56"/>
      <c r="AF111" s="57"/>
      <c r="AG111" s="57"/>
      <c r="AH111" s="57"/>
      <c r="AI111" s="57"/>
      <c r="AJ111" s="57"/>
      <c r="AK111" s="57"/>
      <c r="AL111" s="45"/>
      <c r="AM111" s="65"/>
      <c r="AN111" s="56"/>
      <c r="AO111" s="57"/>
      <c r="AP111" s="57"/>
      <c r="AQ111" s="57"/>
      <c r="AR111" s="57"/>
      <c r="AS111" s="57"/>
      <c r="AT111" s="57"/>
      <c r="AU111" s="45"/>
      <c r="AV111" s="65"/>
      <c r="AW111" s="56"/>
      <c r="AX111" s="55"/>
      <c r="AY111" s="55"/>
      <c r="AZ111" s="55"/>
      <c r="BA111" s="55"/>
      <c r="BB111" s="55"/>
      <c r="BC111" s="55"/>
      <c r="BD111" s="45"/>
      <c r="BE111" s="65"/>
      <c r="BF111" s="55"/>
      <c r="BG111" s="55"/>
      <c r="BH111" s="55"/>
      <c r="BI111" s="55"/>
      <c r="BJ111" s="55"/>
      <c r="BK111" s="55"/>
      <c r="BL111" s="55"/>
      <c r="BM111" s="55"/>
    </row>
    <row r="112" spans="1:65">
      <c r="A112" s="12" t="str">
        <f>Roster!A112</f>
        <v/>
      </c>
      <c r="B112" s="28">
        <f>Roster!C112</f>
        <v>0</v>
      </c>
      <c r="C112" s="55"/>
      <c r="D112" s="56"/>
      <c r="E112" s="57"/>
      <c r="F112" s="57"/>
      <c r="G112" s="57"/>
      <c r="H112" s="57"/>
      <c r="I112" s="57"/>
      <c r="J112" s="57"/>
      <c r="K112" s="45"/>
      <c r="L112" s="58"/>
      <c r="M112" s="56"/>
      <c r="N112" s="57"/>
      <c r="O112" s="57"/>
      <c r="P112" s="57"/>
      <c r="Q112" s="57"/>
      <c r="R112" s="57"/>
      <c r="S112" s="57"/>
      <c r="T112" s="45"/>
      <c r="U112" s="65"/>
      <c r="V112" s="56"/>
      <c r="W112" s="57"/>
      <c r="X112" s="57"/>
      <c r="Y112" s="57"/>
      <c r="Z112" s="57"/>
      <c r="AA112" s="57"/>
      <c r="AB112" s="57"/>
      <c r="AC112" s="45"/>
      <c r="AD112" s="65"/>
      <c r="AE112" s="56"/>
      <c r="AF112" s="57"/>
      <c r="AG112" s="57"/>
      <c r="AH112" s="57"/>
      <c r="AI112" s="57"/>
      <c r="AJ112" s="57"/>
      <c r="AK112" s="57"/>
      <c r="AL112" s="45"/>
      <c r="AM112" s="65"/>
      <c r="AN112" s="56"/>
      <c r="AO112" s="57"/>
      <c r="AP112" s="57"/>
      <c r="AQ112" s="57"/>
      <c r="AR112" s="57"/>
      <c r="AS112" s="57"/>
      <c r="AT112" s="57"/>
      <c r="AU112" s="45"/>
      <c r="AV112" s="65"/>
      <c r="AW112" s="56"/>
      <c r="AX112" s="55"/>
      <c r="AY112" s="55"/>
      <c r="AZ112" s="55"/>
      <c r="BA112" s="55"/>
      <c r="BB112" s="55"/>
      <c r="BC112" s="55"/>
      <c r="BD112" s="45"/>
      <c r="BE112" s="65"/>
      <c r="BF112" s="55"/>
      <c r="BG112" s="55"/>
      <c r="BH112" s="55"/>
      <c r="BI112" s="55"/>
      <c r="BJ112" s="55"/>
      <c r="BK112" s="55"/>
      <c r="BL112" s="55"/>
      <c r="BM112" s="55"/>
    </row>
    <row r="113" spans="1:65">
      <c r="A113" s="12" t="str">
        <f>Roster!A113</f>
        <v/>
      </c>
      <c r="B113" s="28">
        <f>Roster!C113</f>
        <v>0</v>
      </c>
      <c r="C113" s="55"/>
      <c r="D113" s="56"/>
      <c r="E113" s="57"/>
      <c r="F113" s="57"/>
      <c r="G113" s="57"/>
      <c r="H113" s="57"/>
      <c r="I113" s="57"/>
      <c r="J113" s="57"/>
      <c r="K113" s="45"/>
      <c r="L113" s="58"/>
      <c r="M113" s="56"/>
      <c r="N113" s="57"/>
      <c r="O113" s="57"/>
      <c r="P113" s="57"/>
      <c r="Q113" s="57"/>
      <c r="R113" s="57"/>
      <c r="S113" s="57"/>
      <c r="T113" s="45"/>
      <c r="U113" s="65"/>
      <c r="V113" s="56"/>
      <c r="W113" s="57"/>
      <c r="X113" s="57"/>
      <c r="Y113" s="57"/>
      <c r="Z113" s="57"/>
      <c r="AA113" s="57"/>
      <c r="AB113" s="57"/>
      <c r="AC113" s="45"/>
      <c r="AD113" s="65"/>
      <c r="AE113" s="56"/>
      <c r="AF113" s="57"/>
      <c r="AG113" s="57"/>
      <c r="AH113" s="57"/>
      <c r="AI113" s="57"/>
      <c r="AJ113" s="57"/>
      <c r="AK113" s="57"/>
      <c r="AL113" s="45"/>
      <c r="AM113" s="65"/>
      <c r="AN113" s="56"/>
      <c r="AO113" s="57"/>
      <c r="AP113" s="57"/>
      <c r="AQ113" s="57"/>
      <c r="AR113" s="57"/>
      <c r="AS113" s="57"/>
      <c r="AT113" s="57"/>
      <c r="AU113" s="45"/>
      <c r="AV113" s="65"/>
      <c r="AW113" s="56"/>
      <c r="AX113" s="55"/>
      <c r="AY113" s="55"/>
      <c r="AZ113" s="55"/>
      <c r="BA113" s="55"/>
      <c r="BB113" s="55"/>
      <c r="BC113" s="55"/>
      <c r="BD113" s="45"/>
      <c r="BE113" s="65"/>
      <c r="BF113" s="55"/>
      <c r="BG113" s="55"/>
      <c r="BH113" s="55"/>
      <c r="BI113" s="55"/>
      <c r="BJ113" s="55"/>
      <c r="BK113" s="55"/>
      <c r="BL113" s="55"/>
      <c r="BM113" s="55"/>
    </row>
    <row r="114" spans="1:65">
      <c r="A114" s="12" t="str">
        <f>Roster!A114</f>
        <v/>
      </c>
      <c r="B114" s="28">
        <f>Roster!C114</f>
        <v>0</v>
      </c>
      <c r="C114" s="55"/>
      <c r="D114" s="56"/>
      <c r="E114" s="57"/>
      <c r="F114" s="57"/>
      <c r="G114" s="57"/>
      <c r="H114" s="57"/>
      <c r="I114" s="57"/>
      <c r="J114" s="57"/>
      <c r="K114" s="45"/>
      <c r="L114" s="58"/>
      <c r="M114" s="56"/>
      <c r="N114" s="57"/>
      <c r="O114" s="57"/>
      <c r="P114" s="57"/>
      <c r="Q114" s="57"/>
      <c r="R114" s="57"/>
      <c r="S114" s="57"/>
      <c r="T114" s="45"/>
      <c r="U114" s="65"/>
      <c r="V114" s="56"/>
      <c r="W114" s="57"/>
      <c r="X114" s="57"/>
      <c r="Y114" s="57"/>
      <c r="Z114" s="57"/>
      <c r="AA114" s="57"/>
      <c r="AB114" s="57"/>
      <c r="AC114" s="45"/>
      <c r="AD114" s="65"/>
      <c r="AE114" s="56"/>
      <c r="AF114" s="57"/>
      <c r="AG114" s="57"/>
      <c r="AH114" s="57"/>
      <c r="AI114" s="57"/>
      <c r="AJ114" s="57"/>
      <c r="AK114" s="57"/>
      <c r="AL114" s="45"/>
      <c r="AM114" s="65"/>
      <c r="AN114" s="56"/>
      <c r="AO114" s="57"/>
      <c r="AP114" s="57"/>
      <c r="AQ114" s="57"/>
      <c r="AR114" s="57"/>
      <c r="AS114" s="57"/>
      <c r="AT114" s="57"/>
      <c r="AU114" s="45"/>
      <c r="AV114" s="65"/>
      <c r="AW114" s="56"/>
      <c r="AX114" s="55"/>
      <c r="AY114" s="55"/>
      <c r="AZ114" s="55"/>
      <c r="BA114" s="55"/>
      <c r="BB114" s="55"/>
      <c r="BC114" s="55"/>
      <c r="BD114" s="45"/>
      <c r="BE114" s="65"/>
      <c r="BF114" s="55"/>
      <c r="BG114" s="55"/>
      <c r="BH114" s="55"/>
      <c r="BI114" s="55"/>
      <c r="BJ114" s="55"/>
      <c r="BK114" s="55"/>
      <c r="BL114" s="55"/>
      <c r="BM114" s="55"/>
    </row>
    <row r="115" spans="1:65">
      <c r="A115" s="12" t="str">
        <f>Roster!A115</f>
        <v/>
      </c>
      <c r="B115" s="28">
        <f>Roster!C115</f>
        <v>0</v>
      </c>
      <c r="C115" s="55"/>
      <c r="D115" s="56"/>
      <c r="E115" s="57"/>
      <c r="F115" s="57"/>
      <c r="G115" s="57"/>
      <c r="H115" s="57"/>
      <c r="I115" s="57"/>
      <c r="J115" s="57"/>
      <c r="K115" s="45"/>
      <c r="L115" s="58"/>
      <c r="M115" s="56"/>
      <c r="N115" s="57"/>
      <c r="O115" s="57"/>
      <c r="P115" s="57"/>
      <c r="Q115" s="57"/>
      <c r="R115" s="57"/>
      <c r="S115" s="57"/>
      <c r="T115" s="45"/>
      <c r="U115" s="65"/>
      <c r="V115" s="56"/>
      <c r="W115" s="57"/>
      <c r="X115" s="57"/>
      <c r="Y115" s="57"/>
      <c r="Z115" s="57"/>
      <c r="AA115" s="57"/>
      <c r="AB115" s="57"/>
      <c r="AC115" s="45"/>
      <c r="AD115" s="65"/>
      <c r="AE115" s="56"/>
      <c r="AF115" s="57"/>
      <c r="AG115" s="57"/>
      <c r="AH115" s="57"/>
      <c r="AI115" s="57"/>
      <c r="AJ115" s="57"/>
      <c r="AK115" s="57"/>
      <c r="AL115" s="45"/>
      <c r="AM115" s="65"/>
      <c r="AN115" s="56"/>
      <c r="AO115" s="57"/>
      <c r="AP115" s="57"/>
      <c r="AQ115" s="57"/>
      <c r="AR115" s="57"/>
      <c r="AS115" s="57"/>
      <c r="AT115" s="57"/>
      <c r="AU115" s="45"/>
      <c r="AV115" s="65"/>
      <c r="AW115" s="56"/>
      <c r="AX115" s="55"/>
      <c r="AY115" s="55"/>
      <c r="AZ115" s="55"/>
      <c r="BA115" s="55"/>
      <c r="BB115" s="55"/>
      <c r="BC115" s="55"/>
      <c r="BD115" s="45"/>
      <c r="BE115" s="65"/>
      <c r="BF115" s="55"/>
      <c r="BG115" s="55"/>
      <c r="BH115" s="55"/>
      <c r="BI115" s="55"/>
      <c r="BJ115" s="55"/>
      <c r="BK115" s="55"/>
      <c r="BL115" s="55"/>
      <c r="BM115" s="55"/>
    </row>
    <row r="116" spans="1:65">
      <c r="A116" s="12" t="str">
        <f>Roster!A116</f>
        <v/>
      </c>
      <c r="B116" s="28">
        <f>Roster!C116</f>
        <v>0</v>
      </c>
      <c r="C116" s="55"/>
      <c r="D116" s="56"/>
      <c r="E116" s="57"/>
      <c r="F116" s="57"/>
      <c r="G116" s="57"/>
      <c r="H116" s="57"/>
      <c r="I116" s="57"/>
      <c r="J116" s="57"/>
      <c r="K116" s="45"/>
      <c r="L116" s="58"/>
      <c r="M116" s="56"/>
      <c r="N116" s="57"/>
      <c r="O116" s="57"/>
      <c r="P116" s="57"/>
      <c r="Q116" s="57"/>
      <c r="R116" s="57"/>
      <c r="S116" s="57"/>
      <c r="T116" s="45"/>
      <c r="U116" s="65"/>
      <c r="V116" s="56"/>
      <c r="W116" s="57"/>
      <c r="X116" s="57"/>
      <c r="Y116" s="57"/>
      <c r="Z116" s="57"/>
      <c r="AA116" s="57"/>
      <c r="AB116" s="57"/>
      <c r="AC116" s="45"/>
      <c r="AD116" s="65"/>
      <c r="AE116" s="56"/>
      <c r="AF116" s="57"/>
      <c r="AG116" s="57"/>
      <c r="AH116" s="57"/>
      <c r="AI116" s="57"/>
      <c r="AJ116" s="57"/>
      <c r="AK116" s="57"/>
      <c r="AL116" s="45"/>
      <c r="AM116" s="65"/>
      <c r="AN116" s="56"/>
      <c r="AO116" s="57"/>
      <c r="AP116" s="57"/>
      <c r="AQ116" s="57"/>
      <c r="AR116" s="57"/>
      <c r="AS116" s="57"/>
      <c r="AT116" s="57"/>
      <c r="AU116" s="45"/>
      <c r="AV116" s="65"/>
      <c r="AW116" s="56"/>
      <c r="AX116" s="55"/>
      <c r="AY116" s="55"/>
      <c r="AZ116" s="55"/>
      <c r="BA116" s="55"/>
      <c r="BB116" s="55"/>
      <c r="BC116" s="55"/>
      <c r="BD116" s="45"/>
      <c r="BE116" s="65"/>
      <c r="BF116" s="55"/>
      <c r="BG116" s="55"/>
      <c r="BH116" s="55"/>
      <c r="BI116" s="55"/>
      <c r="BJ116" s="55"/>
      <c r="BK116" s="55"/>
      <c r="BL116" s="55"/>
      <c r="BM116" s="55"/>
    </row>
    <row r="117" spans="1:65">
      <c r="A117" s="12" t="str">
        <f>Roster!A117</f>
        <v/>
      </c>
      <c r="B117" s="28">
        <f>Roster!C117</f>
        <v>0</v>
      </c>
      <c r="C117" s="55"/>
      <c r="D117" s="56"/>
      <c r="E117" s="57"/>
      <c r="F117" s="57"/>
      <c r="G117" s="57"/>
      <c r="H117" s="57"/>
      <c r="I117" s="57"/>
      <c r="J117" s="57"/>
      <c r="K117" s="45"/>
      <c r="L117" s="58"/>
      <c r="M117" s="56"/>
      <c r="N117" s="57"/>
      <c r="O117" s="57"/>
      <c r="P117" s="57"/>
      <c r="Q117" s="57"/>
      <c r="R117" s="57"/>
      <c r="S117" s="57"/>
      <c r="T117" s="45"/>
      <c r="U117" s="65"/>
      <c r="V117" s="56"/>
      <c r="W117" s="57"/>
      <c r="X117" s="57"/>
      <c r="Y117" s="57"/>
      <c r="Z117" s="57"/>
      <c r="AA117" s="57"/>
      <c r="AB117" s="57"/>
      <c r="AC117" s="45"/>
      <c r="AD117" s="65"/>
      <c r="AE117" s="56"/>
      <c r="AF117" s="57"/>
      <c r="AG117" s="57"/>
      <c r="AH117" s="57"/>
      <c r="AI117" s="57"/>
      <c r="AJ117" s="57"/>
      <c r="AK117" s="57"/>
      <c r="AL117" s="45"/>
      <c r="AM117" s="65"/>
      <c r="AN117" s="56"/>
      <c r="AO117" s="57"/>
      <c r="AP117" s="57"/>
      <c r="AQ117" s="57"/>
      <c r="AR117" s="57"/>
      <c r="AS117" s="57"/>
      <c r="AT117" s="57"/>
      <c r="AU117" s="45"/>
      <c r="AV117" s="65"/>
      <c r="AW117" s="56"/>
      <c r="AX117" s="55"/>
      <c r="AY117" s="55"/>
      <c r="AZ117" s="55"/>
      <c r="BA117" s="55"/>
      <c r="BB117" s="55"/>
      <c r="BC117" s="55"/>
      <c r="BD117" s="45"/>
      <c r="BE117" s="65"/>
      <c r="BF117" s="55"/>
      <c r="BG117" s="55"/>
      <c r="BH117" s="55"/>
      <c r="BI117" s="55"/>
      <c r="BJ117" s="55"/>
      <c r="BK117" s="55"/>
      <c r="BL117" s="55"/>
      <c r="BM117" s="55"/>
    </row>
    <row r="118" spans="1:65">
      <c r="A118" s="12" t="str">
        <f>Roster!A118</f>
        <v/>
      </c>
      <c r="B118" s="28">
        <f>Roster!C118</f>
        <v>0</v>
      </c>
      <c r="C118" s="55"/>
      <c r="D118" s="56"/>
      <c r="E118" s="57"/>
      <c r="F118" s="57"/>
      <c r="G118" s="57"/>
      <c r="H118" s="57"/>
      <c r="I118" s="57"/>
      <c r="J118" s="57"/>
      <c r="K118" s="45"/>
      <c r="L118" s="58"/>
      <c r="M118" s="56"/>
      <c r="N118" s="57"/>
      <c r="O118" s="57"/>
      <c r="P118" s="57"/>
      <c r="Q118" s="57"/>
      <c r="R118" s="57"/>
      <c r="S118" s="57"/>
      <c r="T118" s="45"/>
      <c r="U118" s="65"/>
      <c r="V118" s="56"/>
      <c r="W118" s="57"/>
      <c r="X118" s="57"/>
      <c r="Y118" s="57"/>
      <c r="Z118" s="57"/>
      <c r="AA118" s="57"/>
      <c r="AB118" s="57"/>
      <c r="AC118" s="45"/>
      <c r="AD118" s="65"/>
      <c r="AE118" s="56"/>
      <c r="AF118" s="57"/>
      <c r="AG118" s="57"/>
      <c r="AH118" s="57"/>
      <c r="AI118" s="57"/>
      <c r="AJ118" s="57"/>
      <c r="AK118" s="57"/>
      <c r="AL118" s="45"/>
      <c r="AM118" s="65"/>
      <c r="AN118" s="56"/>
      <c r="AO118" s="57"/>
      <c r="AP118" s="57"/>
      <c r="AQ118" s="57"/>
      <c r="AR118" s="57"/>
      <c r="AS118" s="57"/>
      <c r="AT118" s="57"/>
      <c r="AU118" s="45"/>
      <c r="AV118" s="65"/>
      <c r="AW118" s="56"/>
      <c r="AX118" s="55"/>
      <c r="AY118" s="55"/>
      <c r="AZ118" s="55"/>
      <c r="BA118" s="55"/>
      <c r="BB118" s="55"/>
      <c r="BC118" s="55"/>
      <c r="BD118" s="45"/>
      <c r="BE118" s="65"/>
      <c r="BF118" s="55"/>
      <c r="BG118" s="55"/>
      <c r="BH118" s="55"/>
      <c r="BI118" s="55"/>
      <c r="BJ118" s="55"/>
      <c r="BK118" s="55"/>
      <c r="BL118" s="55"/>
      <c r="BM118" s="55"/>
    </row>
    <row r="119" spans="1:65">
      <c r="A119" s="12" t="str">
        <f>Roster!A119</f>
        <v/>
      </c>
      <c r="B119" s="28">
        <f>Roster!C119</f>
        <v>0</v>
      </c>
      <c r="C119" s="55"/>
      <c r="D119" s="56"/>
      <c r="E119" s="57"/>
      <c r="F119" s="57"/>
      <c r="G119" s="57"/>
      <c r="H119" s="57"/>
      <c r="I119" s="57"/>
      <c r="J119" s="57"/>
      <c r="K119" s="45"/>
      <c r="L119" s="58"/>
      <c r="M119" s="56"/>
      <c r="N119" s="57"/>
      <c r="O119" s="57"/>
      <c r="P119" s="57"/>
      <c r="Q119" s="57"/>
      <c r="R119" s="57"/>
      <c r="S119" s="57"/>
      <c r="T119" s="45"/>
      <c r="U119" s="65"/>
      <c r="V119" s="56"/>
      <c r="W119" s="57"/>
      <c r="X119" s="57"/>
      <c r="Y119" s="57"/>
      <c r="Z119" s="57"/>
      <c r="AA119" s="57"/>
      <c r="AB119" s="57"/>
      <c r="AC119" s="45"/>
      <c r="AD119" s="65"/>
      <c r="AE119" s="56"/>
      <c r="AF119" s="57"/>
      <c r="AG119" s="57"/>
      <c r="AH119" s="57"/>
      <c r="AI119" s="57"/>
      <c r="AJ119" s="57"/>
      <c r="AK119" s="57"/>
      <c r="AL119" s="45"/>
      <c r="AM119" s="65"/>
      <c r="AN119" s="56"/>
      <c r="AO119" s="57"/>
      <c r="AP119" s="57"/>
      <c r="AQ119" s="57"/>
      <c r="AR119" s="57"/>
      <c r="AS119" s="57"/>
      <c r="AT119" s="57"/>
      <c r="AU119" s="45"/>
      <c r="AV119" s="65"/>
      <c r="AW119" s="56"/>
      <c r="AX119" s="55"/>
      <c r="AY119" s="55"/>
      <c r="AZ119" s="55"/>
      <c r="BA119" s="55"/>
      <c r="BB119" s="55"/>
      <c r="BC119" s="55"/>
      <c r="BD119" s="45"/>
      <c r="BE119" s="65"/>
      <c r="BF119" s="55"/>
      <c r="BG119" s="55"/>
      <c r="BH119" s="55"/>
      <c r="BI119" s="55"/>
      <c r="BJ119" s="55"/>
      <c r="BK119" s="55"/>
      <c r="BL119" s="55"/>
      <c r="BM119" s="55"/>
    </row>
    <row r="120" spans="1:65">
      <c r="A120" s="12" t="str">
        <f>Roster!A120</f>
        <v/>
      </c>
      <c r="B120" s="28">
        <f>Roster!C120</f>
        <v>0</v>
      </c>
      <c r="C120" s="55"/>
      <c r="D120" s="56"/>
      <c r="E120" s="57"/>
      <c r="F120" s="57"/>
      <c r="G120" s="57"/>
      <c r="H120" s="57"/>
      <c r="I120" s="57"/>
      <c r="J120" s="57"/>
      <c r="K120" s="45"/>
      <c r="L120" s="58"/>
      <c r="M120" s="56"/>
      <c r="N120" s="57"/>
      <c r="O120" s="57"/>
      <c r="P120" s="57"/>
      <c r="Q120" s="57"/>
      <c r="R120" s="57"/>
      <c r="S120" s="57"/>
      <c r="T120" s="45"/>
      <c r="U120" s="65"/>
      <c r="V120" s="56"/>
      <c r="W120" s="57"/>
      <c r="X120" s="57"/>
      <c r="Y120" s="57"/>
      <c r="Z120" s="57"/>
      <c r="AA120" s="57"/>
      <c r="AB120" s="57"/>
      <c r="AC120" s="45"/>
      <c r="AD120" s="65"/>
      <c r="AE120" s="56"/>
      <c r="AF120" s="57"/>
      <c r="AG120" s="57"/>
      <c r="AH120" s="57"/>
      <c r="AI120" s="57"/>
      <c r="AJ120" s="57"/>
      <c r="AK120" s="57"/>
      <c r="AL120" s="45"/>
      <c r="AM120" s="65"/>
      <c r="AN120" s="56"/>
      <c r="AO120" s="57"/>
      <c r="AP120" s="57"/>
      <c r="AQ120" s="57"/>
      <c r="AR120" s="57"/>
      <c r="AS120" s="57"/>
      <c r="AT120" s="57"/>
      <c r="AU120" s="45"/>
      <c r="AV120" s="65"/>
      <c r="AW120" s="56"/>
      <c r="AX120" s="55"/>
      <c r="AY120" s="55"/>
      <c r="AZ120" s="55"/>
      <c r="BA120" s="55"/>
      <c r="BB120" s="55"/>
      <c r="BC120" s="55"/>
      <c r="BD120" s="45"/>
      <c r="BE120" s="65"/>
      <c r="BF120" s="55"/>
      <c r="BG120" s="55"/>
      <c r="BH120" s="55"/>
      <c r="BI120" s="55"/>
      <c r="BJ120" s="55"/>
      <c r="BK120" s="55"/>
      <c r="BL120" s="55"/>
      <c r="BM120" s="55"/>
    </row>
    <row r="121" spans="1:65">
      <c r="A121" s="12" t="str">
        <f>Roster!A121</f>
        <v/>
      </c>
      <c r="B121" s="28">
        <f>Roster!C121</f>
        <v>0</v>
      </c>
      <c r="C121" s="55"/>
      <c r="D121" s="56"/>
      <c r="E121" s="57"/>
      <c r="F121" s="57"/>
      <c r="G121" s="57"/>
      <c r="H121" s="57"/>
      <c r="I121" s="57"/>
      <c r="J121" s="57"/>
      <c r="K121" s="45"/>
      <c r="L121" s="58"/>
      <c r="M121" s="56"/>
      <c r="N121" s="57"/>
      <c r="O121" s="57"/>
      <c r="P121" s="57"/>
      <c r="Q121" s="57"/>
      <c r="R121" s="57"/>
      <c r="S121" s="57"/>
      <c r="T121" s="45"/>
      <c r="U121" s="65"/>
      <c r="V121" s="56"/>
      <c r="W121" s="57"/>
      <c r="X121" s="57"/>
      <c r="Y121" s="57"/>
      <c r="Z121" s="57"/>
      <c r="AA121" s="57"/>
      <c r="AB121" s="57"/>
      <c r="AC121" s="45"/>
      <c r="AD121" s="65"/>
      <c r="AE121" s="56"/>
      <c r="AF121" s="57"/>
      <c r="AG121" s="57"/>
      <c r="AH121" s="57"/>
      <c r="AI121" s="57"/>
      <c r="AJ121" s="57"/>
      <c r="AK121" s="57"/>
      <c r="AL121" s="45"/>
      <c r="AM121" s="65"/>
      <c r="AN121" s="56"/>
      <c r="AO121" s="57"/>
      <c r="AP121" s="57"/>
      <c r="AQ121" s="57"/>
      <c r="AR121" s="57"/>
      <c r="AS121" s="57"/>
      <c r="AT121" s="57"/>
      <c r="AU121" s="45"/>
      <c r="AV121" s="65"/>
      <c r="AW121" s="56"/>
      <c r="AX121" s="55"/>
      <c r="AY121" s="55"/>
      <c r="AZ121" s="55"/>
      <c r="BA121" s="55"/>
      <c r="BB121" s="55"/>
      <c r="BC121" s="55"/>
      <c r="BD121" s="45"/>
      <c r="BE121" s="65"/>
      <c r="BF121" s="55"/>
      <c r="BG121" s="55"/>
      <c r="BH121" s="55"/>
      <c r="BI121" s="55"/>
      <c r="BJ121" s="55"/>
      <c r="BK121" s="55"/>
      <c r="BL121" s="55"/>
      <c r="BM121" s="55"/>
    </row>
    <row r="122" spans="1:65">
      <c r="A122" s="12" t="str">
        <f>Roster!A122</f>
        <v/>
      </c>
      <c r="B122" s="28">
        <f>Roster!C122</f>
        <v>0</v>
      </c>
      <c r="C122" s="55"/>
      <c r="D122" s="56"/>
      <c r="E122" s="57"/>
      <c r="F122" s="57"/>
      <c r="G122" s="57"/>
      <c r="H122" s="57"/>
      <c r="I122" s="57"/>
      <c r="J122" s="57"/>
      <c r="K122" s="45"/>
      <c r="L122" s="58"/>
      <c r="M122" s="56"/>
      <c r="N122" s="57"/>
      <c r="O122" s="57"/>
      <c r="P122" s="57"/>
      <c r="Q122" s="57"/>
      <c r="R122" s="57"/>
      <c r="S122" s="57"/>
      <c r="T122" s="45"/>
      <c r="U122" s="65"/>
      <c r="V122" s="56"/>
      <c r="W122" s="57"/>
      <c r="X122" s="57"/>
      <c r="Y122" s="57"/>
      <c r="Z122" s="57"/>
      <c r="AA122" s="57"/>
      <c r="AB122" s="57"/>
      <c r="AC122" s="45"/>
      <c r="AD122" s="65"/>
      <c r="AE122" s="56"/>
      <c r="AF122" s="57"/>
      <c r="AG122" s="57"/>
      <c r="AH122" s="57"/>
      <c r="AI122" s="57"/>
      <c r="AJ122" s="57"/>
      <c r="AK122" s="57"/>
      <c r="AL122" s="45"/>
      <c r="AM122" s="65"/>
      <c r="AN122" s="56"/>
      <c r="AO122" s="57"/>
      <c r="AP122" s="57"/>
      <c r="AQ122" s="57"/>
      <c r="AR122" s="57"/>
      <c r="AS122" s="57"/>
      <c r="AT122" s="57"/>
      <c r="AU122" s="45"/>
      <c r="AV122" s="65"/>
      <c r="AW122" s="56"/>
      <c r="AX122" s="55"/>
      <c r="AY122" s="55"/>
      <c r="AZ122" s="55"/>
      <c r="BA122" s="55"/>
      <c r="BB122" s="55"/>
      <c r="BC122" s="55"/>
      <c r="BD122" s="45"/>
      <c r="BE122" s="65"/>
      <c r="BF122" s="55"/>
      <c r="BG122" s="55"/>
      <c r="BH122" s="55"/>
      <c r="BI122" s="55"/>
      <c r="BJ122" s="55"/>
      <c r="BK122" s="55"/>
      <c r="BL122" s="55"/>
      <c r="BM122" s="55"/>
    </row>
    <row r="123" spans="1:65">
      <c r="A123" s="12" t="str">
        <f>Roster!A123</f>
        <v/>
      </c>
      <c r="B123" s="28">
        <f>Roster!C123</f>
        <v>0</v>
      </c>
      <c r="C123" s="55"/>
      <c r="D123" s="56"/>
      <c r="E123" s="57"/>
      <c r="F123" s="57"/>
      <c r="G123" s="57"/>
      <c r="H123" s="57"/>
      <c r="I123" s="57"/>
      <c r="J123" s="57"/>
      <c r="K123" s="45"/>
      <c r="L123" s="58"/>
      <c r="M123" s="56"/>
      <c r="N123" s="57"/>
      <c r="O123" s="57"/>
      <c r="P123" s="57"/>
      <c r="Q123" s="57"/>
      <c r="R123" s="57"/>
      <c r="S123" s="57"/>
      <c r="T123" s="45"/>
      <c r="U123" s="65"/>
      <c r="V123" s="56"/>
      <c r="W123" s="57"/>
      <c r="X123" s="57"/>
      <c r="Y123" s="57"/>
      <c r="Z123" s="57"/>
      <c r="AA123" s="57"/>
      <c r="AB123" s="57"/>
      <c r="AC123" s="45"/>
      <c r="AD123" s="65"/>
      <c r="AE123" s="56"/>
      <c r="AF123" s="57"/>
      <c r="AG123" s="57"/>
      <c r="AH123" s="57"/>
      <c r="AI123" s="57"/>
      <c r="AJ123" s="57"/>
      <c r="AK123" s="57"/>
      <c r="AL123" s="45"/>
      <c r="AM123" s="65"/>
      <c r="AN123" s="56"/>
      <c r="AO123" s="57"/>
      <c r="AP123" s="57"/>
      <c r="AQ123" s="57"/>
      <c r="AR123" s="57"/>
      <c r="AS123" s="57"/>
      <c r="AT123" s="57"/>
      <c r="AU123" s="45"/>
      <c r="AV123" s="65"/>
      <c r="AW123" s="56"/>
      <c r="AX123" s="55"/>
      <c r="AY123" s="55"/>
      <c r="AZ123" s="55"/>
      <c r="BA123" s="55"/>
      <c r="BB123" s="55"/>
      <c r="BC123" s="55"/>
      <c r="BD123" s="45"/>
      <c r="BE123" s="65"/>
      <c r="BF123" s="55"/>
      <c r="BG123" s="55"/>
      <c r="BH123" s="55"/>
      <c r="BI123" s="55"/>
      <c r="BJ123" s="55"/>
      <c r="BK123" s="55"/>
      <c r="BL123" s="55"/>
      <c r="BM123" s="55"/>
    </row>
    <row r="124" spans="1:65">
      <c r="A124" s="12" t="str">
        <f>Roster!A124</f>
        <v/>
      </c>
      <c r="B124" s="28">
        <f>Roster!C124</f>
        <v>0</v>
      </c>
      <c r="C124" s="55"/>
      <c r="D124" s="56"/>
      <c r="E124" s="57"/>
      <c r="F124" s="57"/>
      <c r="G124" s="57"/>
      <c r="H124" s="57"/>
      <c r="I124" s="57"/>
      <c r="J124" s="57"/>
      <c r="K124" s="45"/>
      <c r="L124" s="58"/>
      <c r="M124" s="56"/>
      <c r="N124" s="57"/>
      <c r="O124" s="57"/>
      <c r="P124" s="57"/>
      <c r="Q124" s="57"/>
      <c r="R124" s="57"/>
      <c r="S124" s="57"/>
      <c r="T124" s="45"/>
      <c r="U124" s="65"/>
      <c r="V124" s="56"/>
      <c r="W124" s="57"/>
      <c r="X124" s="57"/>
      <c r="Y124" s="57"/>
      <c r="Z124" s="57"/>
      <c r="AA124" s="57"/>
      <c r="AB124" s="57"/>
      <c r="AC124" s="45"/>
      <c r="AD124" s="65"/>
      <c r="AE124" s="56"/>
      <c r="AF124" s="57"/>
      <c r="AG124" s="57"/>
      <c r="AH124" s="57"/>
      <c r="AI124" s="57"/>
      <c r="AJ124" s="57"/>
      <c r="AK124" s="57"/>
      <c r="AL124" s="45"/>
      <c r="AM124" s="65"/>
      <c r="AN124" s="56"/>
      <c r="AO124" s="57"/>
      <c r="AP124" s="57"/>
      <c r="AQ124" s="57"/>
      <c r="AR124" s="57"/>
      <c r="AS124" s="57"/>
      <c r="AT124" s="57"/>
      <c r="AU124" s="45"/>
      <c r="AV124" s="65"/>
      <c r="AW124" s="56"/>
      <c r="AX124" s="55"/>
      <c r="AY124" s="55"/>
      <c r="AZ124" s="55"/>
      <c r="BA124" s="55"/>
      <c r="BB124" s="55"/>
      <c r="BC124" s="55"/>
      <c r="BD124" s="45"/>
      <c r="BE124" s="65"/>
      <c r="BF124" s="55"/>
      <c r="BG124" s="55"/>
      <c r="BH124" s="55"/>
      <c r="BI124" s="55"/>
      <c r="BJ124" s="55"/>
      <c r="BK124" s="55"/>
      <c r="BL124" s="55"/>
      <c r="BM124" s="55"/>
    </row>
    <row r="125" spans="1:65">
      <c r="A125" s="12" t="str">
        <f>Roster!A125</f>
        <v/>
      </c>
      <c r="B125" s="28">
        <f>Roster!C125</f>
        <v>0</v>
      </c>
      <c r="C125" s="55"/>
      <c r="D125" s="56"/>
      <c r="E125" s="57"/>
      <c r="F125" s="57"/>
      <c r="G125" s="57"/>
      <c r="H125" s="57"/>
      <c r="I125" s="57"/>
      <c r="J125" s="57"/>
      <c r="K125" s="45"/>
      <c r="L125" s="58"/>
      <c r="M125" s="56"/>
      <c r="N125" s="57"/>
      <c r="O125" s="57"/>
      <c r="P125" s="57"/>
      <c r="Q125" s="57"/>
      <c r="R125" s="57"/>
      <c r="S125" s="57"/>
      <c r="T125" s="45"/>
      <c r="U125" s="65"/>
      <c r="V125" s="56"/>
      <c r="W125" s="57"/>
      <c r="X125" s="57"/>
      <c r="Y125" s="57"/>
      <c r="Z125" s="57"/>
      <c r="AA125" s="57"/>
      <c r="AB125" s="57"/>
      <c r="AC125" s="45"/>
      <c r="AD125" s="65"/>
      <c r="AE125" s="56"/>
      <c r="AF125" s="57"/>
      <c r="AG125" s="57"/>
      <c r="AH125" s="57"/>
      <c r="AI125" s="57"/>
      <c r="AJ125" s="57"/>
      <c r="AK125" s="57"/>
      <c r="AL125" s="45"/>
      <c r="AM125" s="65"/>
      <c r="AN125" s="56"/>
      <c r="AO125" s="57"/>
      <c r="AP125" s="57"/>
      <c r="AQ125" s="57"/>
      <c r="AR125" s="57"/>
      <c r="AS125" s="57"/>
      <c r="AT125" s="57"/>
      <c r="AU125" s="45"/>
      <c r="AV125" s="65"/>
      <c r="AW125" s="56"/>
      <c r="AX125" s="55"/>
      <c r="AY125" s="55"/>
      <c r="AZ125" s="55"/>
      <c r="BA125" s="55"/>
      <c r="BB125" s="55"/>
      <c r="BC125" s="55"/>
      <c r="BD125" s="45"/>
      <c r="BE125" s="65"/>
      <c r="BF125" s="55"/>
      <c r="BG125" s="55"/>
      <c r="BH125" s="55"/>
      <c r="BI125" s="55"/>
      <c r="BJ125" s="55"/>
      <c r="BK125" s="55"/>
      <c r="BL125" s="55"/>
      <c r="BM125" s="55"/>
    </row>
    <row r="126" spans="1:65">
      <c r="A126" s="12" t="str">
        <f>Roster!A126</f>
        <v/>
      </c>
      <c r="B126" s="28">
        <f>Roster!C126</f>
        <v>0</v>
      </c>
      <c r="C126" s="55"/>
      <c r="D126" s="56"/>
      <c r="E126" s="57"/>
      <c r="F126" s="57"/>
      <c r="G126" s="57"/>
      <c r="H126" s="57"/>
      <c r="I126" s="57"/>
      <c r="J126" s="57"/>
      <c r="K126" s="45"/>
      <c r="L126" s="58"/>
      <c r="M126" s="56"/>
      <c r="N126" s="57"/>
      <c r="O126" s="57"/>
      <c r="P126" s="57"/>
      <c r="Q126" s="57"/>
      <c r="R126" s="57"/>
      <c r="S126" s="57"/>
      <c r="T126" s="45"/>
      <c r="U126" s="65"/>
      <c r="V126" s="56"/>
      <c r="W126" s="57"/>
      <c r="X126" s="57"/>
      <c r="Y126" s="57"/>
      <c r="Z126" s="57"/>
      <c r="AA126" s="57"/>
      <c r="AB126" s="57"/>
      <c r="AC126" s="45"/>
      <c r="AD126" s="65"/>
      <c r="AE126" s="56"/>
      <c r="AF126" s="57"/>
      <c r="AG126" s="57"/>
      <c r="AH126" s="57"/>
      <c r="AI126" s="57"/>
      <c r="AJ126" s="57"/>
      <c r="AK126" s="57"/>
      <c r="AL126" s="45"/>
      <c r="AM126" s="65"/>
      <c r="AN126" s="56"/>
      <c r="AO126" s="57"/>
      <c r="AP126" s="57"/>
      <c r="AQ126" s="57"/>
      <c r="AR126" s="57"/>
      <c r="AS126" s="57"/>
      <c r="AT126" s="57"/>
      <c r="AU126" s="45"/>
      <c r="AV126" s="65"/>
      <c r="AW126" s="56"/>
      <c r="AX126" s="55"/>
      <c r="AY126" s="55"/>
      <c r="AZ126" s="55"/>
      <c r="BA126" s="55"/>
      <c r="BB126" s="55"/>
      <c r="BC126" s="55"/>
      <c r="BD126" s="45"/>
      <c r="BE126" s="65"/>
      <c r="BF126" s="55"/>
      <c r="BG126" s="55"/>
      <c r="BH126" s="55"/>
      <c r="BI126" s="55"/>
      <c r="BJ126" s="55"/>
      <c r="BK126" s="55"/>
      <c r="BL126" s="55"/>
      <c r="BM126" s="55"/>
    </row>
    <row r="127" spans="1:65">
      <c r="A127" s="12" t="str">
        <f>Roster!A127</f>
        <v/>
      </c>
      <c r="B127" s="28">
        <f>Roster!C127</f>
        <v>0</v>
      </c>
      <c r="C127" s="55"/>
      <c r="D127" s="56"/>
      <c r="E127" s="57"/>
      <c r="F127" s="57"/>
      <c r="G127" s="57"/>
      <c r="H127" s="57"/>
      <c r="I127" s="57"/>
      <c r="J127" s="57"/>
      <c r="K127" s="45"/>
      <c r="L127" s="58"/>
      <c r="M127" s="56"/>
      <c r="N127" s="57"/>
      <c r="O127" s="57"/>
      <c r="P127" s="57"/>
      <c r="Q127" s="57"/>
      <c r="R127" s="57"/>
      <c r="S127" s="57"/>
      <c r="T127" s="45"/>
      <c r="U127" s="65"/>
      <c r="V127" s="56"/>
      <c r="W127" s="57"/>
      <c r="X127" s="57"/>
      <c r="Y127" s="57"/>
      <c r="Z127" s="57"/>
      <c r="AA127" s="57"/>
      <c r="AB127" s="57"/>
      <c r="AC127" s="45"/>
      <c r="AD127" s="65"/>
      <c r="AE127" s="56"/>
      <c r="AF127" s="57"/>
      <c r="AG127" s="57"/>
      <c r="AH127" s="57"/>
      <c r="AI127" s="57"/>
      <c r="AJ127" s="57"/>
      <c r="AK127" s="57"/>
      <c r="AL127" s="45"/>
      <c r="AM127" s="65"/>
      <c r="AN127" s="56"/>
      <c r="AO127" s="57"/>
      <c r="AP127" s="57"/>
      <c r="AQ127" s="57"/>
      <c r="AR127" s="57"/>
      <c r="AS127" s="57"/>
      <c r="AT127" s="57"/>
      <c r="AU127" s="45"/>
      <c r="AV127" s="65"/>
      <c r="AW127" s="56"/>
      <c r="AX127" s="55"/>
      <c r="AY127" s="55"/>
      <c r="AZ127" s="55"/>
      <c r="BA127" s="55"/>
      <c r="BB127" s="55"/>
      <c r="BC127" s="55"/>
      <c r="BD127" s="45"/>
      <c r="BE127" s="65"/>
      <c r="BF127" s="55"/>
      <c r="BG127" s="55"/>
      <c r="BH127" s="55"/>
      <c r="BI127" s="55"/>
      <c r="BJ127" s="55"/>
      <c r="BK127" s="55"/>
      <c r="BL127" s="55"/>
      <c r="BM127" s="55"/>
    </row>
    <row r="128" spans="1:65">
      <c r="A128" s="12" t="str">
        <f>Roster!A128</f>
        <v/>
      </c>
      <c r="B128" s="28">
        <f>Roster!C128</f>
        <v>0</v>
      </c>
      <c r="C128" s="55"/>
      <c r="D128" s="56"/>
      <c r="E128" s="57"/>
      <c r="F128" s="57"/>
      <c r="G128" s="57"/>
      <c r="H128" s="57"/>
      <c r="I128" s="57"/>
      <c r="J128" s="57"/>
      <c r="K128" s="45"/>
      <c r="L128" s="58"/>
      <c r="M128" s="56"/>
      <c r="N128" s="57"/>
      <c r="O128" s="57"/>
      <c r="P128" s="57"/>
      <c r="Q128" s="57"/>
      <c r="R128" s="57"/>
      <c r="S128" s="57"/>
      <c r="T128" s="45"/>
      <c r="U128" s="65"/>
      <c r="V128" s="56"/>
      <c r="W128" s="57"/>
      <c r="X128" s="57"/>
      <c r="Y128" s="57"/>
      <c r="Z128" s="57"/>
      <c r="AA128" s="57"/>
      <c r="AB128" s="57"/>
      <c r="AC128" s="45"/>
      <c r="AD128" s="65"/>
      <c r="AE128" s="56"/>
      <c r="AF128" s="57"/>
      <c r="AG128" s="57"/>
      <c r="AH128" s="57"/>
      <c r="AI128" s="57"/>
      <c r="AJ128" s="57"/>
      <c r="AK128" s="57"/>
      <c r="AL128" s="45"/>
      <c r="AM128" s="65"/>
      <c r="AN128" s="56"/>
      <c r="AO128" s="57"/>
      <c r="AP128" s="57"/>
      <c r="AQ128" s="57"/>
      <c r="AR128" s="57"/>
      <c r="AS128" s="57"/>
      <c r="AT128" s="57"/>
      <c r="AU128" s="45"/>
      <c r="AV128" s="65"/>
      <c r="AW128" s="56"/>
      <c r="AX128" s="55"/>
      <c r="AY128" s="55"/>
      <c r="AZ128" s="55"/>
      <c r="BA128" s="55"/>
      <c r="BB128" s="55"/>
      <c r="BC128" s="55"/>
      <c r="BD128" s="45"/>
      <c r="BE128" s="65"/>
      <c r="BF128" s="55"/>
      <c r="BG128" s="55"/>
      <c r="BH128" s="55"/>
      <c r="BI128" s="55"/>
      <c r="BJ128" s="55"/>
      <c r="BK128" s="55"/>
      <c r="BL128" s="55"/>
      <c r="BM128" s="55"/>
    </row>
    <row r="129" spans="1:65">
      <c r="A129" s="12" t="str">
        <f>Roster!A129</f>
        <v/>
      </c>
      <c r="B129" s="28">
        <f>Roster!C129</f>
        <v>0</v>
      </c>
      <c r="C129" s="55"/>
      <c r="D129" s="56"/>
      <c r="E129" s="57"/>
      <c r="F129" s="57"/>
      <c r="G129" s="57"/>
      <c r="H129" s="57"/>
      <c r="I129" s="57"/>
      <c r="J129" s="57"/>
      <c r="K129" s="45"/>
      <c r="L129" s="58"/>
      <c r="M129" s="56"/>
      <c r="N129" s="57"/>
      <c r="O129" s="57"/>
      <c r="P129" s="57"/>
      <c r="Q129" s="57"/>
      <c r="R129" s="57"/>
      <c r="S129" s="57"/>
      <c r="T129" s="45"/>
      <c r="U129" s="65"/>
      <c r="V129" s="56"/>
      <c r="W129" s="57"/>
      <c r="X129" s="57"/>
      <c r="Y129" s="57"/>
      <c r="Z129" s="57"/>
      <c r="AA129" s="57"/>
      <c r="AB129" s="57"/>
      <c r="AC129" s="45"/>
      <c r="AD129" s="65"/>
      <c r="AE129" s="56"/>
      <c r="AF129" s="57"/>
      <c r="AG129" s="57"/>
      <c r="AH129" s="57"/>
      <c r="AI129" s="57"/>
      <c r="AJ129" s="57"/>
      <c r="AK129" s="57"/>
      <c r="AL129" s="45"/>
      <c r="AM129" s="65"/>
      <c r="AN129" s="56"/>
      <c r="AO129" s="57"/>
      <c r="AP129" s="57"/>
      <c r="AQ129" s="57"/>
      <c r="AR129" s="57"/>
      <c r="AS129" s="57"/>
      <c r="AT129" s="57"/>
      <c r="AU129" s="45"/>
      <c r="AV129" s="65"/>
      <c r="AW129" s="56"/>
      <c r="AX129" s="55"/>
      <c r="AY129" s="55"/>
      <c r="AZ129" s="55"/>
      <c r="BA129" s="55"/>
      <c r="BB129" s="55"/>
      <c r="BC129" s="55"/>
      <c r="BD129" s="45"/>
      <c r="BE129" s="65"/>
      <c r="BF129" s="55"/>
      <c r="BG129" s="55"/>
      <c r="BH129" s="55"/>
      <c r="BI129" s="55"/>
      <c r="BJ129" s="55"/>
      <c r="BK129" s="55"/>
      <c r="BL129" s="55"/>
      <c r="BM129" s="55"/>
    </row>
    <row r="130" spans="1:65">
      <c r="A130" s="12" t="str">
        <f>Roster!A130</f>
        <v/>
      </c>
      <c r="B130" s="28">
        <f>Roster!C130</f>
        <v>0</v>
      </c>
      <c r="C130" s="55"/>
      <c r="D130" s="56"/>
      <c r="E130" s="57"/>
      <c r="F130" s="57"/>
      <c r="G130" s="57"/>
      <c r="H130" s="57"/>
      <c r="I130" s="57"/>
      <c r="J130" s="57"/>
      <c r="K130" s="45"/>
      <c r="L130" s="58"/>
      <c r="M130" s="56"/>
      <c r="N130" s="57"/>
      <c r="O130" s="57"/>
      <c r="P130" s="57"/>
      <c r="Q130" s="57"/>
      <c r="R130" s="57"/>
      <c r="S130" s="57"/>
      <c r="T130" s="45"/>
      <c r="U130" s="65"/>
      <c r="V130" s="56"/>
      <c r="W130" s="57"/>
      <c r="X130" s="57"/>
      <c r="Y130" s="57"/>
      <c r="Z130" s="57"/>
      <c r="AA130" s="57"/>
      <c r="AB130" s="57"/>
      <c r="AC130" s="45"/>
      <c r="AD130" s="65"/>
      <c r="AE130" s="56"/>
      <c r="AF130" s="57"/>
      <c r="AG130" s="57"/>
      <c r="AH130" s="57"/>
      <c r="AI130" s="57"/>
      <c r="AJ130" s="57"/>
      <c r="AK130" s="57"/>
      <c r="AL130" s="45"/>
      <c r="AM130" s="65"/>
      <c r="AN130" s="56"/>
      <c r="AO130" s="57"/>
      <c r="AP130" s="57"/>
      <c r="AQ130" s="57"/>
      <c r="AR130" s="57"/>
      <c r="AS130" s="57"/>
      <c r="AT130" s="57"/>
      <c r="AU130" s="45"/>
      <c r="AV130" s="65"/>
      <c r="AW130" s="56"/>
      <c r="AX130" s="55"/>
      <c r="AY130" s="55"/>
      <c r="AZ130" s="55"/>
      <c r="BA130" s="55"/>
      <c r="BB130" s="55"/>
      <c r="BC130" s="55"/>
      <c r="BD130" s="45"/>
      <c r="BE130" s="65"/>
      <c r="BF130" s="55"/>
      <c r="BG130" s="55"/>
      <c r="BH130" s="55"/>
      <c r="BI130" s="55"/>
      <c r="BJ130" s="55"/>
      <c r="BK130" s="55"/>
      <c r="BL130" s="55"/>
      <c r="BM130" s="55"/>
    </row>
    <row r="131" spans="1:65">
      <c r="A131" s="12" t="str">
        <f>Roster!A131</f>
        <v/>
      </c>
      <c r="B131" s="28">
        <f>Roster!C131</f>
        <v>0</v>
      </c>
      <c r="C131" s="55"/>
      <c r="D131" s="56"/>
      <c r="E131" s="57"/>
      <c r="F131" s="57"/>
      <c r="G131" s="57"/>
      <c r="H131" s="57"/>
      <c r="I131" s="57"/>
      <c r="J131" s="57"/>
      <c r="K131" s="45"/>
      <c r="L131" s="58"/>
      <c r="M131" s="56"/>
      <c r="N131" s="57"/>
      <c r="O131" s="57"/>
      <c r="P131" s="57"/>
      <c r="Q131" s="57"/>
      <c r="R131" s="57"/>
      <c r="S131" s="57"/>
      <c r="T131" s="45"/>
      <c r="U131" s="65"/>
      <c r="V131" s="56"/>
      <c r="W131" s="57"/>
      <c r="X131" s="57"/>
      <c r="Y131" s="57"/>
      <c r="Z131" s="57"/>
      <c r="AA131" s="57"/>
      <c r="AB131" s="57"/>
      <c r="AC131" s="45"/>
      <c r="AD131" s="65"/>
      <c r="AE131" s="56"/>
      <c r="AF131" s="57"/>
      <c r="AG131" s="57"/>
      <c r="AH131" s="57"/>
      <c r="AI131" s="57"/>
      <c r="AJ131" s="57"/>
      <c r="AK131" s="57"/>
      <c r="AL131" s="45"/>
      <c r="AM131" s="65"/>
      <c r="AN131" s="56"/>
      <c r="AO131" s="57"/>
      <c r="AP131" s="57"/>
      <c r="AQ131" s="57"/>
      <c r="AR131" s="57"/>
      <c r="AS131" s="57"/>
      <c r="AT131" s="57"/>
      <c r="AU131" s="45"/>
      <c r="AV131" s="65"/>
      <c r="AW131" s="56"/>
      <c r="AX131" s="55"/>
      <c r="AY131" s="55"/>
      <c r="AZ131" s="55"/>
      <c r="BA131" s="55"/>
      <c r="BB131" s="55"/>
      <c r="BC131" s="55"/>
      <c r="BD131" s="45"/>
      <c r="BE131" s="65"/>
      <c r="BF131" s="55"/>
      <c r="BG131" s="55"/>
      <c r="BH131" s="55"/>
      <c r="BI131" s="55"/>
      <c r="BJ131" s="55"/>
      <c r="BK131" s="55"/>
      <c r="BL131" s="55"/>
      <c r="BM131" s="55"/>
    </row>
    <row r="132" spans="1:65">
      <c r="A132" s="12" t="str">
        <f>Roster!A132</f>
        <v/>
      </c>
      <c r="B132" s="28">
        <f>Roster!C132</f>
        <v>0</v>
      </c>
      <c r="C132" s="55"/>
      <c r="D132" s="56"/>
      <c r="E132" s="57"/>
      <c r="F132" s="57"/>
      <c r="G132" s="57"/>
      <c r="H132" s="57"/>
      <c r="I132" s="57"/>
      <c r="J132" s="57"/>
      <c r="K132" s="45"/>
      <c r="L132" s="58"/>
      <c r="M132" s="56"/>
      <c r="N132" s="57"/>
      <c r="O132" s="57"/>
      <c r="P132" s="57"/>
      <c r="Q132" s="57"/>
      <c r="R132" s="57"/>
      <c r="S132" s="57"/>
      <c r="T132" s="45"/>
      <c r="U132" s="65"/>
      <c r="V132" s="56"/>
      <c r="W132" s="57"/>
      <c r="X132" s="57"/>
      <c r="Y132" s="57"/>
      <c r="Z132" s="57"/>
      <c r="AA132" s="57"/>
      <c r="AB132" s="57"/>
      <c r="AC132" s="45"/>
      <c r="AD132" s="65"/>
      <c r="AE132" s="56"/>
      <c r="AF132" s="57"/>
      <c r="AG132" s="57"/>
      <c r="AH132" s="57"/>
      <c r="AI132" s="57"/>
      <c r="AJ132" s="57"/>
      <c r="AK132" s="57"/>
      <c r="AL132" s="45"/>
      <c r="AM132" s="65"/>
      <c r="AN132" s="56"/>
      <c r="AO132" s="57"/>
      <c r="AP132" s="57"/>
      <c r="AQ132" s="57"/>
      <c r="AR132" s="57"/>
      <c r="AS132" s="57"/>
      <c r="AT132" s="57"/>
      <c r="AU132" s="45"/>
      <c r="AV132" s="65"/>
      <c r="AW132" s="56"/>
      <c r="AX132" s="55"/>
      <c r="AY132" s="55"/>
      <c r="AZ132" s="55"/>
      <c r="BA132" s="55"/>
      <c r="BB132" s="55"/>
      <c r="BC132" s="55"/>
      <c r="BD132" s="45"/>
      <c r="BE132" s="65"/>
      <c r="BF132" s="55"/>
      <c r="BG132" s="55"/>
      <c r="BH132" s="55"/>
      <c r="BI132" s="55"/>
      <c r="BJ132" s="55"/>
      <c r="BK132" s="55"/>
      <c r="BL132" s="55"/>
      <c r="BM132" s="55"/>
    </row>
    <row r="133" spans="1:65">
      <c r="A133" s="12" t="str">
        <f>Roster!A133</f>
        <v/>
      </c>
      <c r="B133" s="28">
        <f>Roster!C133</f>
        <v>0</v>
      </c>
      <c r="C133" s="55"/>
      <c r="D133" s="56"/>
      <c r="E133" s="57"/>
      <c r="F133" s="57"/>
      <c r="G133" s="57"/>
      <c r="H133" s="57"/>
      <c r="I133" s="57"/>
      <c r="J133" s="57"/>
      <c r="K133" s="45"/>
      <c r="L133" s="58"/>
      <c r="M133" s="56"/>
      <c r="N133" s="57"/>
      <c r="O133" s="57"/>
      <c r="P133" s="57"/>
      <c r="Q133" s="57"/>
      <c r="R133" s="57"/>
      <c r="S133" s="57"/>
      <c r="T133" s="45"/>
      <c r="U133" s="65"/>
      <c r="V133" s="56"/>
      <c r="W133" s="57"/>
      <c r="X133" s="57"/>
      <c r="Y133" s="57"/>
      <c r="Z133" s="57"/>
      <c r="AA133" s="57"/>
      <c r="AB133" s="57"/>
      <c r="AC133" s="45"/>
      <c r="AD133" s="65"/>
      <c r="AE133" s="56"/>
      <c r="AF133" s="57"/>
      <c r="AG133" s="57"/>
      <c r="AH133" s="57"/>
      <c r="AI133" s="57"/>
      <c r="AJ133" s="57"/>
      <c r="AK133" s="57"/>
      <c r="AL133" s="45"/>
      <c r="AM133" s="65"/>
      <c r="AN133" s="56"/>
      <c r="AO133" s="57"/>
      <c r="AP133" s="57"/>
      <c r="AQ133" s="57"/>
      <c r="AR133" s="57"/>
      <c r="AS133" s="57"/>
      <c r="AT133" s="57"/>
      <c r="AU133" s="45"/>
      <c r="AV133" s="65"/>
      <c r="AW133" s="56"/>
      <c r="AX133" s="55"/>
      <c r="AY133" s="55"/>
      <c r="AZ133" s="55"/>
      <c r="BA133" s="55"/>
      <c r="BB133" s="55"/>
      <c r="BC133" s="55"/>
      <c r="BD133" s="45"/>
      <c r="BE133" s="65"/>
      <c r="BF133" s="55"/>
      <c r="BG133" s="55"/>
      <c r="BH133" s="55"/>
      <c r="BI133" s="55"/>
      <c r="BJ133" s="55"/>
      <c r="BK133" s="55"/>
      <c r="BL133" s="55"/>
      <c r="BM133" s="55"/>
    </row>
    <row r="134" spans="1:65">
      <c r="A134" s="12" t="str">
        <f>Roster!A134</f>
        <v/>
      </c>
      <c r="B134" s="28">
        <f>Roster!C134</f>
        <v>0</v>
      </c>
      <c r="C134" s="55"/>
      <c r="D134" s="56"/>
      <c r="E134" s="57"/>
      <c r="F134" s="57"/>
      <c r="G134" s="57"/>
      <c r="H134" s="57"/>
      <c r="I134" s="57"/>
      <c r="J134" s="57"/>
      <c r="K134" s="45"/>
      <c r="L134" s="58"/>
      <c r="M134" s="56"/>
      <c r="N134" s="57"/>
      <c r="O134" s="57"/>
      <c r="P134" s="57"/>
      <c r="Q134" s="57"/>
      <c r="R134" s="57"/>
      <c r="S134" s="57"/>
      <c r="T134" s="45"/>
      <c r="U134" s="65"/>
      <c r="V134" s="56"/>
      <c r="W134" s="57"/>
      <c r="X134" s="57"/>
      <c r="Y134" s="57"/>
      <c r="Z134" s="57"/>
      <c r="AA134" s="57"/>
      <c r="AB134" s="57"/>
      <c r="AC134" s="45"/>
      <c r="AD134" s="65"/>
      <c r="AE134" s="56"/>
      <c r="AF134" s="57"/>
      <c r="AG134" s="57"/>
      <c r="AH134" s="57"/>
      <c r="AI134" s="57"/>
      <c r="AJ134" s="57"/>
      <c r="AK134" s="57"/>
      <c r="AL134" s="45"/>
      <c r="AM134" s="65"/>
      <c r="AN134" s="56"/>
      <c r="AO134" s="57"/>
      <c r="AP134" s="57"/>
      <c r="AQ134" s="57"/>
      <c r="AR134" s="57"/>
      <c r="AS134" s="57"/>
      <c r="AT134" s="57"/>
      <c r="AU134" s="45"/>
      <c r="AV134" s="65"/>
      <c r="AW134" s="56"/>
      <c r="AX134" s="55"/>
      <c r="AY134" s="55"/>
      <c r="AZ134" s="55"/>
      <c r="BA134" s="55"/>
      <c r="BB134" s="55"/>
      <c r="BC134" s="55"/>
      <c r="BD134" s="45"/>
      <c r="BE134" s="65"/>
      <c r="BF134" s="55"/>
      <c r="BG134" s="55"/>
      <c r="BH134" s="55"/>
      <c r="BI134" s="55"/>
      <c r="BJ134" s="55"/>
      <c r="BK134" s="55"/>
      <c r="BL134" s="55"/>
      <c r="BM134" s="55"/>
    </row>
    <row r="135" spans="1:65">
      <c r="A135" s="12" t="str">
        <f>Roster!A135</f>
        <v/>
      </c>
      <c r="B135" s="28">
        <f>Roster!C135</f>
        <v>0</v>
      </c>
      <c r="C135" s="55"/>
      <c r="D135" s="56"/>
      <c r="E135" s="57"/>
      <c r="F135" s="57"/>
      <c r="G135" s="57"/>
      <c r="H135" s="57"/>
      <c r="I135" s="57"/>
      <c r="J135" s="57"/>
      <c r="K135" s="45"/>
      <c r="L135" s="58"/>
      <c r="M135" s="56"/>
      <c r="N135" s="57"/>
      <c r="O135" s="57"/>
      <c r="P135" s="57"/>
      <c r="Q135" s="57"/>
      <c r="R135" s="57"/>
      <c r="S135" s="57"/>
      <c r="T135" s="45"/>
      <c r="U135" s="65"/>
      <c r="V135" s="56"/>
      <c r="W135" s="57"/>
      <c r="X135" s="57"/>
      <c r="Y135" s="57"/>
      <c r="Z135" s="57"/>
      <c r="AA135" s="57"/>
      <c r="AB135" s="57"/>
      <c r="AC135" s="45"/>
      <c r="AD135" s="65"/>
      <c r="AE135" s="56"/>
      <c r="AF135" s="57"/>
      <c r="AG135" s="57"/>
      <c r="AH135" s="57"/>
      <c r="AI135" s="57"/>
      <c r="AJ135" s="57"/>
      <c r="AK135" s="57"/>
      <c r="AL135" s="45"/>
      <c r="AM135" s="65"/>
      <c r="AN135" s="56"/>
      <c r="AO135" s="57"/>
      <c r="AP135" s="57"/>
      <c r="AQ135" s="57"/>
      <c r="AR135" s="57"/>
      <c r="AS135" s="57"/>
      <c r="AT135" s="57"/>
      <c r="AU135" s="45"/>
      <c r="AV135" s="65"/>
      <c r="AW135" s="56"/>
      <c r="AX135" s="55"/>
      <c r="AY135" s="55"/>
      <c r="AZ135" s="55"/>
      <c r="BA135" s="55"/>
      <c r="BB135" s="55"/>
      <c r="BC135" s="55"/>
      <c r="BD135" s="45"/>
      <c r="BE135" s="65"/>
      <c r="BF135" s="55"/>
      <c r="BG135" s="55"/>
      <c r="BH135" s="55"/>
      <c r="BI135" s="55"/>
      <c r="BJ135" s="55"/>
      <c r="BK135" s="55"/>
      <c r="BL135" s="55"/>
      <c r="BM135" s="55"/>
    </row>
    <row r="136" spans="1:65">
      <c r="A136" s="12" t="str">
        <f>Roster!A136</f>
        <v/>
      </c>
      <c r="B136" s="28">
        <f>Roster!C136</f>
        <v>0</v>
      </c>
      <c r="C136" s="55"/>
      <c r="D136" s="56"/>
      <c r="E136" s="57"/>
      <c r="F136" s="57"/>
      <c r="G136" s="57"/>
      <c r="H136" s="57"/>
      <c r="I136" s="57"/>
      <c r="J136" s="57"/>
      <c r="K136" s="45"/>
      <c r="L136" s="58"/>
      <c r="M136" s="56"/>
      <c r="N136" s="57"/>
      <c r="O136" s="57"/>
      <c r="P136" s="57"/>
      <c r="Q136" s="57"/>
      <c r="R136" s="57"/>
      <c r="S136" s="57"/>
      <c r="T136" s="45"/>
      <c r="U136" s="65"/>
      <c r="V136" s="56"/>
      <c r="W136" s="57"/>
      <c r="X136" s="57"/>
      <c r="Y136" s="57"/>
      <c r="Z136" s="57"/>
      <c r="AA136" s="57"/>
      <c r="AB136" s="57"/>
      <c r="AC136" s="45"/>
      <c r="AD136" s="65"/>
      <c r="AE136" s="56"/>
      <c r="AF136" s="57"/>
      <c r="AG136" s="57"/>
      <c r="AH136" s="57"/>
      <c r="AI136" s="57"/>
      <c r="AJ136" s="57"/>
      <c r="AK136" s="57"/>
      <c r="AL136" s="45"/>
      <c r="AM136" s="65"/>
      <c r="AN136" s="56"/>
      <c r="AO136" s="57"/>
      <c r="AP136" s="57"/>
      <c r="AQ136" s="57"/>
      <c r="AR136" s="57"/>
      <c r="AS136" s="57"/>
      <c r="AT136" s="57"/>
      <c r="AU136" s="45"/>
      <c r="AV136" s="65"/>
      <c r="AW136" s="56"/>
      <c r="AX136" s="55"/>
      <c r="AY136" s="55"/>
      <c r="AZ136" s="55"/>
      <c r="BA136" s="55"/>
      <c r="BB136" s="55"/>
      <c r="BC136" s="55"/>
      <c r="BD136" s="45"/>
      <c r="BE136" s="65"/>
      <c r="BF136" s="55"/>
      <c r="BG136" s="55"/>
      <c r="BH136" s="55"/>
      <c r="BI136" s="55"/>
      <c r="BJ136" s="55"/>
      <c r="BK136" s="55"/>
      <c r="BL136" s="55"/>
      <c r="BM136" s="55"/>
    </row>
    <row r="137" spans="1:65">
      <c r="A137" s="12" t="str">
        <f>Roster!A137</f>
        <v/>
      </c>
      <c r="B137" s="28">
        <f>Roster!C137</f>
        <v>0</v>
      </c>
      <c r="C137" s="55"/>
      <c r="D137" s="56"/>
      <c r="E137" s="57"/>
      <c r="F137" s="57"/>
      <c r="G137" s="57"/>
      <c r="H137" s="57"/>
      <c r="I137" s="57"/>
      <c r="J137" s="57"/>
      <c r="K137" s="45"/>
      <c r="L137" s="58"/>
      <c r="M137" s="56"/>
      <c r="N137" s="57"/>
      <c r="O137" s="57"/>
      <c r="P137" s="57"/>
      <c r="Q137" s="57"/>
      <c r="R137" s="57"/>
      <c r="S137" s="57"/>
      <c r="T137" s="45"/>
      <c r="U137" s="65"/>
      <c r="V137" s="56"/>
      <c r="W137" s="57"/>
      <c r="X137" s="57"/>
      <c r="Y137" s="57"/>
      <c r="Z137" s="57"/>
      <c r="AA137" s="57"/>
      <c r="AB137" s="57"/>
      <c r="AC137" s="45"/>
      <c r="AD137" s="65"/>
      <c r="AE137" s="56"/>
      <c r="AF137" s="57"/>
      <c r="AG137" s="57"/>
      <c r="AH137" s="57"/>
      <c r="AI137" s="57"/>
      <c r="AJ137" s="57"/>
      <c r="AK137" s="57"/>
      <c r="AL137" s="45"/>
      <c r="AM137" s="65"/>
      <c r="AN137" s="56"/>
      <c r="AO137" s="57"/>
      <c r="AP137" s="57"/>
      <c r="AQ137" s="57"/>
      <c r="AR137" s="57"/>
      <c r="AS137" s="57"/>
      <c r="AT137" s="57"/>
      <c r="AU137" s="45"/>
      <c r="AV137" s="65"/>
      <c r="AW137" s="56"/>
      <c r="AX137" s="55"/>
      <c r="AY137" s="55"/>
      <c r="AZ137" s="55"/>
      <c r="BA137" s="55"/>
      <c r="BB137" s="55"/>
      <c r="BC137" s="55"/>
      <c r="BD137" s="45"/>
      <c r="BE137" s="65"/>
      <c r="BF137" s="55"/>
      <c r="BG137" s="55"/>
      <c r="BH137" s="55"/>
      <c r="BI137" s="55"/>
      <c r="BJ137" s="55"/>
      <c r="BK137" s="55"/>
      <c r="BL137" s="55"/>
      <c r="BM137" s="55"/>
    </row>
    <row r="138" spans="1:65">
      <c r="A138" s="12" t="str">
        <f>Roster!A138</f>
        <v/>
      </c>
      <c r="B138" s="28">
        <f>Roster!C138</f>
        <v>0</v>
      </c>
      <c r="C138" s="55"/>
      <c r="D138" s="56"/>
      <c r="E138" s="57"/>
      <c r="F138" s="57"/>
      <c r="G138" s="57"/>
      <c r="H138" s="57"/>
      <c r="I138" s="57"/>
      <c r="J138" s="57"/>
      <c r="K138" s="45"/>
      <c r="L138" s="58"/>
      <c r="M138" s="56"/>
      <c r="N138" s="57"/>
      <c r="O138" s="57"/>
      <c r="P138" s="57"/>
      <c r="Q138" s="57"/>
      <c r="R138" s="57"/>
      <c r="S138" s="57"/>
      <c r="T138" s="45"/>
      <c r="U138" s="65"/>
      <c r="V138" s="56"/>
      <c r="W138" s="57"/>
      <c r="X138" s="57"/>
      <c r="Y138" s="57"/>
      <c r="Z138" s="57"/>
      <c r="AA138" s="57"/>
      <c r="AB138" s="57"/>
      <c r="AC138" s="45"/>
      <c r="AD138" s="65"/>
      <c r="AE138" s="56"/>
      <c r="AF138" s="57"/>
      <c r="AG138" s="57"/>
      <c r="AH138" s="57"/>
      <c r="AI138" s="57"/>
      <c r="AJ138" s="57"/>
      <c r="AK138" s="57"/>
      <c r="AL138" s="45"/>
      <c r="AM138" s="65"/>
      <c r="AN138" s="56"/>
      <c r="AO138" s="57"/>
      <c r="AP138" s="57"/>
      <c r="AQ138" s="57"/>
      <c r="AR138" s="57"/>
      <c r="AS138" s="57"/>
      <c r="AT138" s="57"/>
      <c r="AU138" s="45"/>
      <c r="AV138" s="65"/>
      <c r="AW138" s="56"/>
      <c r="AX138" s="55"/>
      <c r="AY138" s="55"/>
      <c r="AZ138" s="55"/>
      <c r="BA138" s="55"/>
      <c r="BB138" s="55"/>
      <c r="BC138" s="55"/>
      <c r="BD138" s="45"/>
      <c r="BE138" s="65"/>
      <c r="BF138" s="55"/>
      <c r="BG138" s="55"/>
      <c r="BH138" s="55"/>
      <c r="BI138" s="55"/>
      <c r="BJ138" s="55"/>
      <c r="BK138" s="55"/>
      <c r="BL138" s="55"/>
      <c r="BM138" s="55"/>
    </row>
    <row r="139" spans="1:65">
      <c r="A139" s="12" t="str">
        <f>Roster!A139</f>
        <v/>
      </c>
      <c r="B139" s="28">
        <f>Roster!C139</f>
        <v>0</v>
      </c>
      <c r="C139" s="55"/>
      <c r="D139" s="56"/>
      <c r="E139" s="57"/>
      <c r="F139" s="57"/>
      <c r="G139" s="57"/>
      <c r="H139" s="57"/>
      <c r="I139" s="57"/>
      <c r="J139" s="57"/>
      <c r="K139" s="45"/>
      <c r="L139" s="58"/>
      <c r="M139" s="56"/>
      <c r="N139" s="57"/>
      <c r="O139" s="57"/>
      <c r="P139" s="57"/>
      <c r="Q139" s="57"/>
      <c r="R139" s="57"/>
      <c r="S139" s="57"/>
      <c r="T139" s="45"/>
      <c r="U139" s="65"/>
      <c r="V139" s="56"/>
      <c r="W139" s="57"/>
      <c r="X139" s="57"/>
      <c r="Y139" s="57"/>
      <c r="Z139" s="57"/>
      <c r="AA139" s="57"/>
      <c r="AB139" s="57"/>
      <c r="AC139" s="45"/>
      <c r="AD139" s="65"/>
      <c r="AE139" s="56"/>
      <c r="AF139" s="57"/>
      <c r="AG139" s="57"/>
      <c r="AH139" s="57"/>
      <c r="AI139" s="57"/>
      <c r="AJ139" s="57"/>
      <c r="AK139" s="57"/>
      <c r="AL139" s="45"/>
      <c r="AM139" s="65"/>
      <c r="AN139" s="56"/>
      <c r="AO139" s="57"/>
      <c r="AP139" s="57"/>
      <c r="AQ139" s="57"/>
      <c r="AR139" s="57"/>
      <c r="AS139" s="57"/>
      <c r="AT139" s="57"/>
      <c r="AU139" s="45"/>
      <c r="AV139" s="65"/>
      <c r="AW139" s="56"/>
      <c r="AX139" s="55"/>
      <c r="AY139" s="55"/>
      <c r="AZ139" s="55"/>
      <c r="BA139" s="55"/>
      <c r="BB139" s="55"/>
      <c r="BC139" s="55"/>
      <c r="BD139" s="45"/>
      <c r="BE139" s="65"/>
      <c r="BF139" s="55"/>
      <c r="BG139" s="55"/>
      <c r="BH139" s="55"/>
      <c r="BI139" s="55"/>
      <c r="BJ139" s="55"/>
      <c r="BK139" s="55"/>
      <c r="BL139" s="55"/>
      <c r="BM139" s="55"/>
    </row>
    <row r="140" spans="1:65">
      <c r="A140" s="12" t="str">
        <f>Roster!A140</f>
        <v/>
      </c>
      <c r="B140" s="28">
        <f>Roster!C140</f>
        <v>0</v>
      </c>
      <c r="C140" s="55"/>
      <c r="D140" s="56"/>
      <c r="E140" s="57"/>
      <c r="F140" s="57"/>
      <c r="G140" s="57"/>
      <c r="H140" s="57"/>
      <c r="I140" s="57"/>
      <c r="J140" s="57"/>
      <c r="K140" s="45"/>
      <c r="L140" s="58"/>
      <c r="M140" s="56"/>
      <c r="N140" s="57"/>
      <c r="O140" s="57"/>
      <c r="P140" s="57"/>
      <c r="Q140" s="57"/>
      <c r="R140" s="57"/>
      <c r="S140" s="57"/>
      <c r="T140" s="45"/>
      <c r="U140" s="65"/>
      <c r="V140" s="56"/>
      <c r="W140" s="57"/>
      <c r="X140" s="57"/>
      <c r="Y140" s="57"/>
      <c r="Z140" s="57"/>
      <c r="AA140" s="57"/>
      <c r="AB140" s="57"/>
      <c r="AC140" s="45"/>
      <c r="AD140" s="65"/>
      <c r="AE140" s="56"/>
      <c r="AF140" s="57"/>
      <c r="AG140" s="57"/>
      <c r="AH140" s="57"/>
      <c r="AI140" s="57"/>
      <c r="AJ140" s="57"/>
      <c r="AK140" s="57"/>
      <c r="AL140" s="45"/>
      <c r="AM140" s="65"/>
      <c r="AN140" s="56"/>
      <c r="AO140" s="57"/>
      <c r="AP140" s="57"/>
      <c r="AQ140" s="57"/>
      <c r="AR140" s="57"/>
      <c r="AS140" s="57"/>
      <c r="AT140" s="57"/>
      <c r="AU140" s="45"/>
      <c r="AV140" s="65"/>
      <c r="AW140" s="56"/>
      <c r="AX140" s="55"/>
      <c r="AY140" s="55"/>
      <c r="AZ140" s="55"/>
      <c r="BA140" s="55"/>
      <c r="BB140" s="55"/>
      <c r="BC140" s="55"/>
      <c r="BD140" s="45"/>
      <c r="BE140" s="65"/>
      <c r="BF140" s="55"/>
      <c r="BG140" s="55"/>
      <c r="BH140" s="55"/>
      <c r="BI140" s="55"/>
      <c r="BJ140" s="55"/>
      <c r="BK140" s="55"/>
      <c r="BL140" s="55"/>
      <c r="BM140" s="55"/>
    </row>
    <row r="141" spans="1:65">
      <c r="A141" s="12" t="str">
        <f>Roster!A141</f>
        <v/>
      </c>
      <c r="B141" s="28">
        <f>Roster!C141</f>
        <v>0</v>
      </c>
      <c r="C141" s="55"/>
      <c r="D141" s="56"/>
      <c r="E141" s="57"/>
      <c r="F141" s="57"/>
      <c r="G141" s="57"/>
      <c r="H141" s="57"/>
      <c r="I141" s="57"/>
      <c r="J141" s="57"/>
      <c r="K141" s="45"/>
      <c r="L141" s="58"/>
      <c r="M141" s="56"/>
      <c r="N141" s="57"/>
      <c r="O141" s="57"/>
      <c r="P141" s="57"/>
      <c r="Q141" s="57"/>
      <c r="R141" s="57"/>
      <c r="S141" s="57"/>
      <c r="T141" s="45"/>
      <c r="U141" s="65"/>
      <c r="V141" s="56"/>
      <c r="W141" s="57"/>
      <c r="X141" s="57"/>
      <c r="Y141" s="57"/>
      <c r="Z141" s="57"/>
      <c r="AA141" s="57"/>
      <c r="AB141" s="57"/>
      <c r="AC141" s="45"/>
      <c r="AD141" s="65"/>
      <c r="AE141" s="56"/>
      <c r="AF141" s="57"/>
      <c r="AG141" s="57"/>
      <c r="AH141" s="57"/>
      <c r="AI141" s="57"/>
      <c r="AJ141" s="57"/>
      <c r="AK141" s="57"/>
      <c r="AL141" s="45"/>
      <c r="AM141" s="65"/>
      <c r="AN141" s="56"/>
      <c r="AO141" s="57"/>
      <c r="AP141" s="57"/>
      <c r="AQ141" s="57"/>
      <c r="AR141" s="57"/>
      <c r="AS141" s="57"/>
      <c r="AT141" s="57"/>
      <c r="AU141" s="45"/>
      <c r="AV141" s="65"/>
      <c r="AW141" s="56"/>
      <c r="AX141" s="55"/>
      <c r="AY141" s="55"/>
      <c r="AZ141" s="55"/>
      <c r="BA141" s="55"/>
      <c r="BB141" s="55"/>
      <c r="BC141" s="55"/>
      <c r="BD141" s="45"/>
      <c r="BE141" s="65"/>
      <c r="BF141" s="55"/>
      <c r="BG141" s="55"/>
      <c r="BH141" s="55"/>
      <c r="BI141" s="55"/>
      <c r="BJ141" s="55"/>
      <c r="BK141" s="55"/>
      <c r="BL141" s="55"/>
      <c r="BM141" s="55"/>
    </row>
    <row r="142" spans="1:65">
      <c r="A142" s="12" t="str">
        <f>Roster!A142</f>
        <v/>
      </c>
      <c r="B142" s="28">
        <f>Roster!C142</f>
        <v>0</v>
      </c>
      <c r="C142" s="55"/>
      <c r="D142" s="56"/>
      <c r="E142" s="57"/>
      <c r="F142" s="57"/>
      <c r="G142" s="57"/>
      <c r="H142" s="57"/>
      <c r="I142" s="57"/>
      <c r="J142" s="57"/>
      <c r="K142" s="45"/>
      <c r="L142" s="58"/>
      <c r="M142" s="56"/>
      <c r="N142" s="57"/>
      <c r="O142" s="57"/>
      <c r="P142" s="57"/>
      <c r="Q142" s="57"/>
      <c r="R142" s="57"/>
      <c r="S142" s="57"/>
      <c r="T142" s="45"/>
      <c r="U142" s="65"/>
      <c r="V142" s="56"/>
      <c r="W142" s="57"/>
      <c r="X142" s="57"/>
      <c r="Y142" s="57"/>
      <c r="Z142" s="57"/>
      <c r="AA142" s="57"/>
      <c r="AB142" s="57"/>
      <c r="AC142" s="45"/>
      <c r="AD142" s="65"/>
      <c r="AE142" s="56"/>
      <c r="AF142" s="57"/>
      <c r="AG142" s="57"/>
      <c r="AH142" s="57"/>
      <c r="AI142" s="57"/>
      <c r="AJ142" s="57"/>
      <c r="AK142" s="57"/>
      <c r="AL142" s="45"/>
      <c r="AM142" s="65"/>
      <c r="AN142" s="56"/>
      <c r="AO142" s="57"/>
      <c r="AP142" s="57"/>
      <c r="AQ142" s="57"/>
      <c r="AR142" s="57"/>
      <c r="AS142" s="57"/>
      <c r="AT142" s="57"/>
      <c r="AU142" s="45"/>
      <c r="AV142" s="65"/>
      <c r="AW142" s="56"/>
      <c r="AX142" s="55"/>
      <c r="AY142" s="55"/>
      <c r="AZ142" s="55"/>
      <c r="BA142" s="55"/>
      <c r="BB142" s="55"/>
      <c r="BC142" s="55"/>
      <c r="BD142" s="45"/>
      <c r="BE142" s="65"/>
      <c r="BF142" s="55"/>
      <c r="BG142" s="55"/>
      <c r="BH142" s="55"/>
      <c r="BI142" s="55"/>
      <c r="BJ142" s="55"/>
      <c r="BK142" s="55"/>
      <c r="BL142" s="55"/>
      <c r="BM142" s="55"/>
    </row>
    <row r="143" spans="1:65">
      <c r="A143" s="12" t="str">
        <f>Roster!A143</f>
        <v/>
      </c>
      <c r="B143" s="28">
        <f>Roster!C143</f>
        <v>0</v>
      </c>
      <c r="C143" s="55"/>
      <c r="D143" s="56"/>
      <c r="E143" s="57"/>
      <c r="F143" s="57"/>
      <c r="G143" s="57"/>
      <c r="H143" s="57"/>
      <c r="I143" s="57"/>
      <c r="J143" s="57"/>
      <c r="K143" s="45"/>
      <c r="L143" s="58"/>
      <c r="M143" s="56"/>
      <c r="N143" s="57"/>
      <c r="O143" s="57"/>
      <c r="P143" s="57"/>
      <c r="Q143" s="57"/>
      <c r="R143" s="57"/>
      <c r="S143" s="57"/>
      <c r="T143" s="45"/>
      <c r="U143" s="65"/>
      <c r="V143" s="56"/>
      <c r="W143" s="57"/>
      <c r="X143" s="57"/>
      <c r="Y143" s="57"/>
      <c r="Z143" s="57"/>
      <c r="AA143" s="57"/>
      <c r="AB143" s="57"/>
      <c r="AC143" s="45"/>
      <c r="AD143" s="65"/>
      <c r="AE143" s="56"/>
      <c r="AF143" s="57"/>
      <c r="AG143" s="57"/>
      <c r="AH143" s="57"/>
      <c r="AI143" s="57"/>
      <c r="AJ143" s="57"/>
      <c r="AK143" s="57"/>
      <c r="AL143" s="45"/>
      <c r="AM143" s="65"/>
      <c r="AN143" s="56"/>
      <c r="AO143" s="57"/>
      <c r="AP143" s="57"/>
      <c r="AQ143" s="57"/>
      <c r="AR143" s="57"/>
      <c r="AS143" s="57"/>
      <c r="AT143" s="57"/>
      <c r="AU143" s="45"/>
      <c r="AV143" s="65"/>
      <c r="AW143" s="56"/>
      <c r="AX143" s="55"/>
      <c r="AY143" s="55"/>
      <c r="AZ143" s="55"/>
      <c r="BA143" s="55"/>
      <c r="BB143" s="55"/>
      <c r="BC143" s="55"/>
      <c r="BD143" s="45"/>
      <c r="BE143" s="65"/>
      <c r="BF143" s="55"/>
      <c r="BG143" s="55"/>
      <c r="BH143" s="55"/>
      <c r="BI143" s="55"/>
      <c r="BJ143" s="55"/>
      <c r="BK143" s="55"/>
      <c r="BL143" s="55"/>
      <c r="BM143" s="55"/>
    </row>
    <row r="144" spans="1:65">
      <c r="A144" s="12" t="str">
        <f>Roster!A144</f>
        <v/>
      </c>
      <c r="B144" s="28">
        <f>Roster!C144</f>
        <v>0</v>
      </c>
      <c r="C144" s="55"/>
      <c r="D144" s="56"/>
      <c r="E144" s="57"/>
      <c r="F144" s="57"/>
      <c r="G144" s="57"/>
      <c r="H144" s="57"/>
      <c r="I144" s="57"/>
      <c r="J144" s="57"/>
      <c r="K144" s="45"/>
      <c r="L144" s="58"/>
      <c r="M144" s="56"/>
      <c r="N144" s="57"/>
      <c r="O144" s="57"/>
      <c r="P144" s="57"/>
      <c r="Q144" s="57"/>
      <c r="R144" s="57"/>
      <c r="S144" s="57"/>
      <c r="T144" s="45"/>
      <c r="U144" s="65"/>
      <c r="V144" s="56"/>
      <c r="W144" s="57"/>
      <c r="X144" s="57"/>
      <c r="Y144" s="57"/>
      <c r="Z144" s="57"/>
      <c r="AA144" s="57"/>
      <c r="AB144" s="57"/>
      <c r="AC144" s="45"/>
      <c r="AD144" s="65"/>
      <c r="AE144" s="56"/>
      <c r="AF144" s="57"/>
      <c r="AG144" s="57"/>
      <c r="AH144" s="57"/>
      <c r="AI144" s="57"/>
      <c r="AJ144" s="57"/>
      <c r="AK144" s="57"/>
      <c r="AL144" s="45"/>
      <c r="AM144" s="65"/>
      <c r="AN144" s="56"/>
      <c r="AO144" s="57"/>
      <c r="AP144" s="57"/>
      <c r="AQ144" s="57"/>
      <c r="AR144" s="57"/>
      <c r="AS144" s="57"/>
      <c r="AT144" s="57"/>
      <c r="AU144" s="45"/>
      <c r="AV144" s="65"/>
      <c r="AW144" s="56"/>
      <c r="AX144" s="55"/>
      <c r="AY144" s="55"/>
      <c r="AZ144" s="55"/>
      <c r="BA144" s="55"/>
      <c r="BB144" s="55"/>
      <c r="BC144" s="55"/>
      <c r="BD144" s="45"/>
      <c r="BE144" s="65"/>
      <c r="BF144" s="55"/>
      <c r="BG144" s="55"/>
      <c r="BH144" s="55"/>
      <c r="BI144" s="55"/>
      <c r="BJ144" s="55"/>
      <c r="BK144" s="55"/>
      <c r="BL144" s="55"/>
      <c r="BM144" s="55"/>
    </row>
    <row r="145" spans="1:65">
      <c r="A145" s="12" t="str">
        <f>Roster!A145</f>
        <v/>
      </c>
      <c r="B145" s="28">
        <f>Roster!C145</f>
        <v>0</v>
      </c>
      <c r="C145" s="55"/>
      <c r="D145" s="56"/>
      <c r="E145" s="57"/>
      <c r="F145" s="57"/>
      <c r="G145" s="57"/>
      <c r="H145" s="57"/>
      <c r="I145" s="57"/>
      <c r="J145" s="57"/>
      <c r="K145" s="45"/>
      <c r="L145" s="58"/>
      <c r="M145" s="56"/>
      <c r="N145" s="57"/>
      <c r="O145" s="57"/>
      <c r="P145" s="57"/>
      <c r="Q145" s="57"/>
      <c r="R145" s="57"/>
      <c r="S145" s="57"/>
      <c r="T145" s="45"/>
      <c r="U145" s="65"/>
      <c r="V145" s="56"/>
      <c r="W145" s="57"/>
      <c r="X145" s="57"/>
      <c r="Y145" s="57"/>
      <c r="Z145" s="57"/>
      <c r="AA145" s="57"/>
      <c r="AB145" s="57"/>
      <c r="AC145" s="45"/>
      <c r="AD145" s="65"/>
      <c r="AE145" s="56"/>
      <c r="AF145" s="57"/>
      <c r="AG145" s="57"/>
      <c r="AH145" s="57"/>
      <c r="AI145" s="57"/>
      <c r="AJ145" s="57"/>
      <c r="AK145" s="57"/>
      <c r="AL145" s="45"/>
      <c r="AM145" s="65"/>
      <c r="AN145" s="56"/>
      <c r="AO145" s="57"/>
      <c r="AP145" s="57"/>
      <c r="AQ145" s="57"/>
      <c r="AR145" s="57"/>
      <c r="AS145" s="57"/>
      <c r="AT145" s="57"/>
      <c r="AU145" s="45"/>
      <c r="AV145" s="65"/>
      <c r="AW145" s="56"/>
      <c r="AX145" s="55"/>
      <c r="AY145" s="55"/>
      <c r="AZ145" s="55"/>
      <c r="BA145" s="55"/>
      <c r="BB145" s="55"/>
      <c r="BC145" s="55"/>
      <c r="BD145" s="45"/>
      <c r="BE145" s="65"/>
      <c r="BF145" s="55"/>
      <c r="BG145" s="55"/>
      <c r="BH145" s="55"/>
      <c r="BI145" s="55"/>
      <c r="BJ145" s="55"/>
      <c r="BK145" s="55"/>
      <c r="BL145" s="55"/>
      <c r="BM145" s="55"/>
    </row>
    <row r="146" spans="1:65">
      <c r="A146" s="12" t="str">
        <f>Roster!A146</f>
        <v/>
      </c>
      <c r="B146" s="28">
        <f>Roster!C146</f>
        <v>0</v>
      </c>
      <c r="C146" s="55"/>
      <c r="D146" s="56"/>
      <c r="E146" s="57"/>
      <c r="F146" s="57"/>
      <c r="G146" s="57"/>
      <c r="H146" s="57"/>
      <c r="I146" s="57"/>
      <c r="J146" s="57"/>
      <c r="K146" s="45"/>
      <c r="L146" s="58"/>
      <c r="M146" s="56"/>
      <c r="N146" s="57"/>
      <c r="O146" s="57"/>
      <c r="P146" s="57"/>
      <c r="Q146" s="57"/>
      <c r="R146" s="57"/>
      <c r="S146" s="57"/>
      <c r="T146" s="45"/>
      <c r="U146" s="65"/>
      <c r="V146" s="56"/>
      <c r="W146" s="57"/>
      <c r="X146" s="57"/>
      <c r="Y146" s="57"/>
      <c r="Z146" s="57"/>
      <c r="AA146" s="57"/>
      <c r="AB146" s="57"/>
      <c r="AC146" s="45"/>
      <c r="AD146" s="65"/>
      <c r="AE146" s="56"/>
      <c r="AF146" s="57"/>
      <c r="AG146" s="57"/>
      <c r="AH146" s="57"/>
      <c r="AI146" s="57"/>
      <c r="AJ146" s="57"/>
      <c r="AK146" s="57"/>
      <c r="AL146" s="45"/>
      <c r="AM146" s="65"/>
      <c r="AN146" s="56"/>
      <c r="AO146" s="57"/>
      <c r="AP146" s="57"/>
      <c r="AQ146" s="57"/>
      <c r="AR146" s="57"/>
      <c r="AS146" s="57"/>
      <c r="AT146" s="57"/>
      <c r="AU146" s="45"/>
      <c r="AV146" s="65"/>
      <c r="AW146" s="56"/>
      <c r="AX146" s="55"/>
      <c r="AY146" s="55"/>
      <c r="AZ146" s="55"/>
      <c r="BA146" s="55"/>
      <c r="BB146" s="55"/>
      <c r="BC146" s="55"/>
      <c r="BD146" s="45"/>
      <c r="BE146" s="65"/>
      <c r="BF146" s="55"/>
      <c r="BG146" s="55"/>
      <c r="BH146" s="55"/>
      <c r="BI146" s="55"/>
      <c r="BJ146" s="55"/>
      <c r="BK146" s="55"/>
      <c r="BL146" s="55"/>
      <c r="BM146" s="55"/>
    </row>
    <row r="147" spans="1:65">
      <c r="A147" s="12" t="str">
        <f>Roster!A147</f>
        <v/>
      </c>
      <c r="B147" s="28">
        <f>Roster!C147</f>
        <v>0</v>
      </c>
      <c r="C147" s="55"/>
      <c r="D147" s="56"/>
      <c r="E147" s="57"/>
      <c r="F147" s="57"/>
      <c r="G147" s="57"/>
      <c r="H147" s="57"/>
      <c r="I147" s="57"/>
      <c r="J147" s="57"/>
      <c r="K147" s="45"/>
      <c r="L147" s="58"/>
      <c r="M147" s="56"/>
      <c r="N147" s="57"/>
      <c r="O147" s="57"/>
      <c r="P147" s="57"/>
      <c r="Q147" s="57"/>
      <c r="R147" s="57"/>
      <c r="S147" s="57"/>
      <c r="T147" s="45"/>
      <c r="U147" s="65"/>
      <c r="V147" s="56"/>
      <c r="W147" s="57"/>
      <c r="X147" s="57"/>
      <c r="Y147" s="57"/>
      <c r="Z147" s="57"/>
      <c r="AA147" s="57"/>
      <c r="AB147" s="57"/>
      <c r="AC147" s="45"/>
      <c r="AD147" s="65"/>
      <c r="AE147" s="56"/>
      <c r="AF147" s="57"/>
      <c r="AG147" s="57"/>
      <c r="AH147" s="57"/>
      <c r="AI147" s="57"/>
      <c r="AJ147" s="57"/>
      <c r="AK147" s="57"/>
      <c r="AL147" s="45"/>
      <c r="AM147" s="65"/>
      <c r="AN147" s="56"/>
      <c r="AO147" s="57"/>
      <c r="AP147" s="57"/>
      <c r="AQ147" s="57"/>
      <c r="AR147" s="57"/>
      <c r="AS147" s="57"/>
      <c r="AT147" s="57"/>
      <c r="AU147" s="45"/>
      <c r="AV147" s="65"/>
      <c r="AW147" s="56"/>
      <c r="AX147" s="55"/>
      <c r="AY147" s="55"/>
      <c r="AZ147" s="55"/>
      <c r="BA147" s="55"/>
      <c r="BB147" s="55"/>
      <c r="BC147" s="55"/>
      <c r="BD147" s="45"/>
      <c r="BE147" s="65"/>
      <c r="BF147" s="55"/>
      <c r="BG147" s="55"/>
      <c r="BH147" s="55"/>
      <c r="BI147" s="55"/>
      <c r="BJ147" s="55"/>
      <c r="BK147" s="55"/>
      <c r="BL147" s="55"/>
      <c r="BM147" s="55"/>
    </row>
    <row r="148" spans="1:65">
      <c r="A148" s="12" t="str">
        <f>Roster!A148</f>
        <v/>
      </c>
      <c r="B148" s="28">
        <f>Roster!C148</f>
        <v>0</v>
      </c>
      <c r="C148" s="55"/>
      <c r="D148" s="56"/>
      <c r="E148" s="57"/>
      <c r="F148" s="57"/>
      <c r="G148" s="57"/>
      <c r="H148" s="57"/>
      <c r="I148" s="57"/>
      <c r="J148" s="57"/>
      <c r="K148" s="45"/>
      <c r="L148" s="58"/>
      <c r="M148" s="56"/>
      <c r="N148" s="57"/>
      <c r="O148" s="57"/>
      <c r="P148" s="57"/>
      <c r="Q148" s="57"/>
      <c r="R148" s="57"/>
      <c r="S148" s="57"/>
      <c r="T148" s="45"/>
      <c r="U148" s="65"/>
      <c r="V148" s="56"/>
      <c r="W148" s="57"/>
      <c r="X148" s="57"/>
      <c r="Y148" s="57"/>
      <c r="Z148" s="57"/>
      <c r="AA148" s="57"/>
      <c r="AB148" s="57"/>
      <c r="AC148" s="45"/>
      <c r="AD148" s="65"/>
      <c r="AE148" s="56"/>
      <c r="AF148" s="57"/>
      <c r="AG148" s="57"/>
      <c r="AH148" s="57"/>
      <c r="AI148" s="57"/>
      <c r="AJ148" s="57"/>
      <c r="AK148" s="57"/>
      <c r="AL148" s="45"/>
      <c r="AM148" s="65"/>
      <c r="AN148" s="56"/>
      <c r="AO148" s="57"/>
      <c r="AP148" s="57"/>
      <c r="AQ148" s="57"/>
      <c r="AR148" s="57"/>
      <c r="AS148" s="57"/>
      <c r="AT148" s="57"/>
      <c r="AU148" s="45"/>
      <c r="AV148" s="65"/>
      <c r="AW148" s="56"/>
      <c r="AX148" s="55"/>
      <c r="AY148" s="55"/>
      <c r="AZ148" s="55"/>
      <c r="BA148" s="55"/>
      <c r="BB148" s="55"/>
      <c r="BC148" s="55"/>
      <c r="BD148" s="45"/>
      <c r="BE148" s="65"/>
      <c r="BF148" s="55"/>
      <c r="BG148" s="55"/>
      <c r="BH148" s="55"/>
      <c r="BI148" s="55"/>
      <c r="BJ148" s="55"/>
      <c r="BK148" s="55"/>
      <c r="BL148" s="55"/>
      <c r="BM148" s="55"/>
    </row>
    <row r="149" spans="1:65">
      <c r="A149" s="12" t="str">
        <f>Roster!A149</f>
        <v/>
      </c>
      <c r="B149" s="28">
        <f>Roster!C149</f>
        <v>0</v>
      </c>
      <c r="C149" s="55"/>
      <c r="D149" s="56"/>
      <c r="E149" s="57"/>
      <c r="F149" s="57"/>
      <c r="G149" s="57"/>
      <c r="H149" s="57"/>
      <c r="I149" s="57"/>
      <c r="J149" s="57"/>
      <c r="K149" s="45"/>
      <c r="L149" s="58"/>
      <c r="M149" s="56"/>
      <c r="N149" s="57"/>
      <c r="O149" s="57"/>
      <c r="P149" s="57"/>
      <c r="Q149" s="57"/>
      <c r="R149" s="57"/>
      <c r="S149" s="57"/>
      <c r="T149" s="45"/>
      <c r="U149" s="65"/>
      <c r="V149" s="56"/>
      <c r="W149" s="57"/>
      <c r="X149" s="57"/>
      <c r="Y149" s="57"/>
      <c r="Z149" s="57"/>
      <c r="AA149" s="57"/>
      <c r="AB149" s="57"/>
      <c r="AC149" s="45"/>
      <c r="AD149" s="65"/>
      <c r="AE149" s="56"/>
      <c r="AF149" s="57"/>
      <c r="AG149" s="57"/>
      <c r="AH149" s="57"/>
      <c r="AI149" s="57"/>
      <c r="AJ149" s="57"/>
      <c r="AK149" s="57"/>
      <c r="AL149" s="45"/>
      <c r="AM149" s="65"/>
      <c r="AN149" s="56"/>
      <c r="AO149" s="57"/>
      <c r="AP149" s="57"/>
      <c r="AQ149" s="57"/>
      <c r="AR149" s="57"/>
      <c r="AS149" s="57"/>
      <c r="AT149" s="57"/>
      <c r="AU149" s="45"/>
      <c r="AV149" s="65"/>
      <c r="AW149" s="56"/>
      <c r="AX149" s="55"/>
      <c r="AY149" s="55"/>
      <c r="AZ149" s="55"/>
      <c r="BA149" s="55"/>
      <c r="BB149" s="55"/>
      <c r="BC149" s="55"/>
      <c r="BD149" s="45"/>
      <c r="BE149" s="65"/>
      <c r="BF149" s="55"/>
      <c r="BG149" s="55"/>
      <c r="BH149" s="55"/>
      <c r="BI149" s="55"/>
      <c r="BJ149" s="55"/>
      <c r="BK149" s="55"/>
      <c r="BL149" s="55"/>
      <c r="BM149" s="55"/>
    </row>
    <row r="150" spans="1:65">
      <c r="A150" s="12" t="str">
        <f>Roster!A150</f>
        <v/>
      </c>
      <c r="B150" s="28">
        <f>Roster!C150</f>
        <v>0</v>
      </c>
      <c r="C150" s="55"/>
      <c r="D150" s="56"/>
      <c r="E150" s="57"/>
      <c r="F150" s="57"/>
      <c r="G150" s="57"/>
      <c r="H150" s="57"/>
      <c r="I150" s="57"/>
      <c r="J150" s="57"/>
      <c r="K150" s="45"/>
      <c r="L150" s="58"/>
      <c r="M150" s="56"/>
      <c r="N150" s="57"/>
      <c r="O150" s="57"/>
      <c r="P150" s="57"/>
      <c r="Q150" s="57"/>
      <c r="R150" s="57"/>
      <c r="S150" s="57"/>
      <c r="T150" s="45"/>
      <c r="U150" s="65"/>
      <c r="V150" s="56"/>
      <c r="W150" s="57"/>
      <c r="X150" s="57"/>
      <c r="Y150" s="57"/>
      <c r="Z150" s="57"/>
      <c r="AA150" s="57"/>
      <c r="AB150" s="57"/>
      <c r="AC150" s="45"/>
      <c r="AD150" s="65"/>
      <c r="AE150" s="56"/>
      <c r="AF150" s="57"/>
      <c r="AG150" s="57"/>
      <c r="AH150" s="57"/>
      <c r="AI150" s="57"/>
      <c r="AJ150" s="57"/>
      <c r="AK150" s="57"/>
      <c r="AL150" s="45"/>
      <c r="AM150" s="65"/>
      <c r="AN150" s="56"/>
      <c r="AO150" s="57"/>
      <c r="AP150" s="57"/>
      <c r="AQ150" s="57"/>
      <c r="AR150" s="57"/>
      <c r="AS150" s="57"/>
      <c r="AT150" s="57"/>
      <c r="AU150" s="45"/>
      <c r="AV150" s="65"/>
      <c r="AW150" s="56"/>
      <c r="AX150" s="55"/>
      <c r="AY150" s="55"/>
      <c r="AZ150" s="55"/>
      <c r="BA150" s="55"/>
      <c r="BB150" s="55"/>
      <c r="BC150" s="55"/>
      <c r="BD150" s="45"/>
      <c r="BE150" s="65"/>
      <c r="BF150" s="55"/>
      <c r="BG150" s="55"/>
      <c r="BH150" s="55"/>
      <c r="BI150" s="55"/>
      <c r="BJ150" s="55"/>
      <c r="BK150" s="55"/>
      <c r="BL150" s="55"/>
      <c r="BM150" s="55"/>
    </row>
    <row r="151" spans="1:65">
      <c r="A151" s="12" t="str">
        <f>Roster!A151</f>
        <v/>
      </c>
      <c r="B151" s="28">
        <f>Roster!C151</f>
        <v>0</v>
      </c>
      <c r="C151" s="55"/>
      <c r="D151" s="56"/>
      <c r="E151" s="57"/>
      <c r="F151" s="57"/>
      <c r="G151" s="57"/>
      <c r="H151" s="57"/>
      <c r="I151" s="57"/>
      <c r="J151" s="57"/>
      <c r="K151" s="45"/>
      <c r="L151" s="58"/>
      <c r="M151" s="56"/>
      <c r="N151" s="57"/>
      <c r="O151" s="57"/>
      <c r="P151" s="57"/>
      <c r="Q151" s="57"/>
      <c r="R151" s="57"/>
      <c r="S151" s="57"/>
      <c r="T151" s="45"/>
      <c r="U151" s="65"/>
      <c r="V151" s="56"/>
      <c r="W151" s="57"/>
      <c r="X151" s="57"/>
      <c r="Y151" s="57"/>
      <c r="Z151" s="57"/>
      <c r="AA151" s="57"/>
      <c r="AB151" s="57"/>
      <c r="AC151" s="45"/>
      <c r="AD151" s="65"/>
      <c r="AE151" s="56"/>
      <c r="AF151" s="57"/>
      <c r="AG151" s="57"/>
      <c r="AH151" s="57"/>
      <c r="AI151" s="57"/>
      <c r="AJ151" s="57"/>
      <c r="AK151" s="57"/>
      <c r="AL151" s="45"/>
      <c r="AM151" s="65"/>
      <c r="AN151" s="56"/>
      <c r="AO151" s="57"/>
      <c r="AP151" s="57"/>
      <c r="AQ151" s="57"/>
      <c r="AR151" s="57"/>
      <c r="AS151" s="57"/>
      <c r="AT151" s="57"/>
      <c r="AU151" s="45"/>
      <c r="AV151" s="65"/>
      <c r="AW151" s="56"/>
      <c r="AX151" s="55"/>
      <c r="AY151" s="55"/>
      <c r="AZ151" s="55"/>
      <c r="BA151" s="55"/>
      <c r="BB151" s="55"/>
      <c r="BC151" s="55"/>
      <c r="BD151" s="45"/>
      <c r="BE151" s="65"/>
      <c r="BF151" s="55"/>
      <c r="BG151" s="55"/>
      <c r="BH151" s="55"/>
      <c r="BI151" s="55"/>
      <c r="BJ151" s="55"/>
      <c r="BK151" s="55"/>
      <c r="BL151" s="55"/>
      <c r="BM151" s="55"/>
    </row>
    <row r="152" spans="1:65">
      <c r="A152" s="11" t="str">
        <f>Roster!A152</f>
        <v/>
      </c>
      <c r="B152" s="38">
        <f>Roster!C152</f>
        <v>0</v>
      </c>
      <c r="C152" s="67"/>
      <c r="D152" s="68"/>
      <c r="E152" s="40"/>
      <c r="F152" s="40"/>
      <c r="G152" s="40"/>
      <c r="H152" s="40"/>
      <c r="I152" s="40"/>
      <c r="J152" s="40"/>
      <c r="K152" s="47"/>
      <c r="L152" s="69"/>
      <c r="M152" s="68"/>
      <c r="N152" s="40"/>
      <c r="O152" s="40"/>
      <c r="P152" s="40"/>
      <c r="Q152" s="40"/>
      <c r="R152" s="40"/>
      <c r="S152" s="40"/>
      <c r="T152" s="47"/>
      <c r="U152" s="70"/>
      <c r="V152" s="68"/>
      <c r="W152" s="40"/>
      <c r="X152" s="40"/>
      <c r="Y152" s="40"/>
      <c r="Z152" s="40"/>
      <c r="AA152" s="40"/>
      <c r="AB152" s="40"/>
      <c r="AC152" s="47"/>
      <c r="AD152" s="70"/>
      <c r="AE152" s="68"/>
      <c r="AF152" s="40"/>
      <c r="AG152" s="40"/>
      <c r="AH152" s="40"/>
      <c r="AI152" s="40"/>
      <c r="AJ152" s="40"/>
      <c r="AK152" s="40"/>
      <c r="AL152" s="47"/>
      <c r="AM152" s="70"/>
      <c r="AN152" s="68"/>
      <c r="AO152" s="40"/>
      <c r="AP152" s="40"/>
      <c r="AQ152" s="40"/>
      <c r="AR152" s="40"/>
      <c r="AS152" s="40"/>
      <c r="AT152" s="40"/>
      <c r="AU152" s="47"/>
      <c r="AV152" s="70"/>
      <c r="AW152" s="68"/>
      <c r="AX152" s="67"/>
      <c r="AY152" s="67"/>
      <c r="AZ152" s="67"/>
      <c r="BA152" s="67"/>
      <c r="BB152" s="67"/>
      <c r="BC152" s="67"/>
      <c r="BD152" s="47"/>
      <c r="BE152" s="70"/>
      <c r="BF152" s="67"/>
      <c r="BG152" s="67"/>
      <c r="BH152" s="67"/>
      <c r="BI152" s="67"/>
      <c r="BJ152" s="67"/>
      <c r="BK152" s="67"/>
      <c r="BL152" s="67"/>
      <c r="BM152" s="67"/>
    </row>
    <row r="153" spans="1:65">
      <c r="A153" s="12" t="str">
        <f>Roster!A153</f>
        <v/>
      </c>
      <c r="B153" s="28">
        <f>Roster!C153</f>
        <v>0</v>
      </c>
      <c r="C153" s="55"/>
      <c r="D153" s="56"/>
      <c r="E153" s="57"/>
      <c r="F153" s="57"/>
      <c r="G153" s="57"/>
      <c r="H153" s="57"/>
      <c r="I153" s="57"/>
      <c r="J153" s="57"/>
      <c r="K153" s="45"/>
      <c r="L153" s="58"/>
      <c r="M153" s="56"/>
      <c r="N153" s="57"/>
      <c r="O153" s="57"/>
      <c r="P153" s="57"/>
      <c r="Q153" s="57"/>
      <c r="R153" s="57"/>
      <c r="S153" s="57"/>
      <c r="T153" s="45"/>
      <c r="U153" s="65"/>
      <c r="V153" s="56"/>
      <c r="W153" s="57"/>
      <c r="X153" s="57"/>
      <c r="Y153" s="57"/>
      <c r="Z153" s="57"/>
      <c r="AA153" s="57"/>
      <c r="AB153" s="57"/>
      <c r="AC153" s="45"/>
      <c r="AD153" s="65"/>
      <c r="AE153" s="56"/>
      <c r="AF153" s="57"/>
      <c r="AG153" s="57"/>
      <c r="AH153" s="57"/>
      <c r="AI153" s="57"/>
      <c r="AJ153" s="57"/>
      <c r="AK153" s="57"/>
      <c r="AL153" s="45"/>
      <c r="AM153" s="65"/>
      <c r="AN153" s="56"/>
      <c r="AO153" s="57"/>
      <c r="AP153" s="57"/>
      <c r="AQ153" s="57"/>
      <c r="AR153" s="57"/>
      <c r="AS153" s="57"/>
      <c r="AT153" s="57"/>
      <c r="AU153" s="45"/>
      <c r="AV153" s="65"/>
      <c r="AW153" s="56"/>
      <c r="AX153" s="55"/>
      <c r="AY153" s="55"/>
      <c r="AZ153" s="55"/>
      <c r="BA153" s="55"/>
      <c r="BB153" s="55"/>
      <c r="BC153" s="55"/>
      <c r="BD153" s="45"/>
      <c r="BE153" s="65"/>
      <c r="BF153" s="55"/>
      <c r="BG153" s="55"/>
      <c r="BH153" s="55"/>
      <c r="BI153" s="55"/>
      <c r="BJ153" s="55"/>
      <c r="BK153" s="55"/>
      <c r="BL153" s="55"/>
      <c r="BM153" s="55"/>
    </row>
    <row r="154" spans="1:65">
      <c r="A154" s="12" t="str">
        <f>Roster!A154</f>
        <v/>
      </c>
      <c r="B154" s="28">
        <f>Roster!C154</f>
        <v>0</v>
      </c>
      <c r="C154" s="55"/>
      <c r="D154" s="56"/>
      <c r="E154" s="57"/>
      <c r="F154" s="57"/>
      <c r="G154" s="57"/>
      <c r="H154" s="57"/>
      <c r="I154" s="57"/>
      <c r="J154" s="57"/>
      <c r="K154" s="45"/>
      <c r="L154" s="58"/>
      <c r="M154" s="56"/>
      <c r="N154" s="57"/>
      <c r="O154" s="57"/>
      <c r="P154" s="57"/>
      <c r="Q154" s="57"/>
      <c r="R154" s="57"/>
      <c r="S154" s="57"/>
      <c r="T154" s="45"/>
      <c r="U154" s="65"/>
      <c r="V154" s="56"/>
      <c r="W154" s="57"/>
      <c r="X154" s="57"/>
      <c r="Y154" s="57"/>
      <c r="Z154" s="57"/>
      <c r="AA154" s="57"/>
      <c r="AB154" s="57"/>
      <c r="AC154" s="45"/>
      <c r="AD154" s="65"/>
      <c r="AE154" s="56"/>
      <c r="AF154" s="57"/>
      <c r="AG154" s="57"/>
      <c r="AH154" s="57"/>
      <c r="AI154" s="57"/>
      <c r="AJ154" s="57"/>
      <c r="AK154" s="57"/>
      <c r="AL154" s="45"/>
      <c r="AM154" s="65"/>
      <c r="AN154" s="56"/>
      <c r="AO154" s="57"/>
      <c r="AP154" s="57"/>
      <c r="AQ154" s="57"/>
      <c r="AR154" s="57"/>
      <c r="AS154" s="57"/>
      <c r="AT154" s="57"/>
      <c r="AU154" s="45"/>
      <c r="AV154" s="65"/>
      <c r="AW154" s="56"/>
      <c r="AX154" s="55"/>
      <c r="AY154" s="55"/>
      <c r="AZ154" s="55"/>
      <c r="BA154" s="55"/>
      <c r="BB154" s="55"/>
      <c r="BC154" s="55"/>
      <c r="BD154" s="45"/>
      <c r="BE154" s="65"/>
      <c r="BF154" s="55"/>
      <c r="BG154" s="55"/>
      <c r="BH154" s="55"/>
      <c r="BI154" s="55"/>
      <c r="BJ154" s="55"/>
      <c r="BK154" s="55"/>
      <c r="BL154" s="55"/>
      <c r="BM154" s="55"/>
    </row>
    <row r="155" spans="1:65">
      <c r="A155" s="12" t="str">
        <f>Roster!A155</f>
        <v/>
      </c>
      <c r="B155" s="28">
        <f>Roster!C155</f>
        <v>0</v>
      </c>
      <c r="C155" s="55"/>
      <c r="D155" s="56"/>
      <c r="E155" s="57"/>
      <c r="F155" s="57"/>
      <c r="G155" s="57"/>
      <c r="H155" s="57"/>
      <c r="I155" s="57"/>
      <c r="J155" s="57"/>
      <c r="K155" s="45"/>
      <c r="L155" s="58"/>
      <c r="M155" s="56"/>
      <c r="N155" s="57"/>
      <c r="O155" s="57"/>
      <c r="P155" s="57"/>
      <c r="Q155" s="57"/>
      <c r="R155" s="57"/>
      <c r="S155" s="57"/>
      <c r="T155" s="45"/>
      <c r="U155" s="65"/>
      <c r="V155" s="56"/>
      <c r="W155" s="57"/>
      <c r="X155" s="57"/>
      <c r="Y155" s="57"/>
      <c r="Z155" s="57"/>
      <c r="AA155" s="57"/>
      <c r="AB155" s="57"/>
      <c r="AC155" s="45"/>
      <c r="AD155" s="65"/>
      <c r="AE155" s="56"/>
      <c r="AF155" s="57"/>
      <c r="AG155" s="57"/>
      <c r="AH155" s="57"/>
      <c r="AI155" s="57"/>
      <c r="AJ155" s="57"/>
      <c r="AK155" s="57"/>
      <c r="AL155" s="45"/>
      <c r="AM155" s="65"/>
      <c r="AN155" s="56"/>
      <c r="AO155" s="57"/>
      <c r="AP155" s="57"/>
      <c r="AQ155" s="57"/>
      <c r="AR155" s="57"/>
      <c r="AS155" s="57"/>
      <c r="AT155" s="57"/>
      <c r="AU155" s="45"/>
      <c r="AV155" s="65"/>
      <c r="AW155" s="56"/>
      <c r="AX155" s="55"/>
      <c r="AY155" s="55"/>
      <c r="AZ155" s="55"/>
      <c r="BA155" s="55"/>
      <c r="BB155" s="55"/>
      <c r="BC155" s="55"/>
      <c r="BD155" s="45"/>
      <c r="BE155" s="65"/>
      <c r="BF155" s="55"/>
      <c r="BG155" s="55"/>
      <c r="BH155" s="55"/>
      <c r="BI155" s="55"/>
      <c r="BJ155" s="55"/>
      <c r="BK155" s="55"/>
      <c r="BL155" s="55"/>
      <c r="BM155" s="55"/>
    </row>
    <row r="156" spans="1:65">
      <c r="A156" s="12" t="str">
        <f>Roster!A156</f>
        <v/>
      </c>
      <c r="B156" s="28">
        <f>Roster!C156</f>
        <v>0</v>
      </c>
      <c r="C156" s="55"/>
      <c r="D156" s="56"/>
      <c r="E156" s="57"/>
      <c r="F156" s="57"/>
      <c r="G156" s="57"/>
      <c r="H156" s="57"/>
      <c r="I156" s="57"/>
      <c r="J156" s="57"/>
      <c r="K156" s="45"/>
      <c r="L156" s="58"/>
      <c r="M156" s="56"/>
      <c r="N156" s="57"/>
      <c r="O156" s="57"/>
      <c r="P156" s="57"/>
      <c r="Q156" s="57"/>
      <c r="R156" s="57"/>
      <c r="S156" s="57"/>
      <c r="T156" s="45"/>
      <c r="U156" s="65"/>
      <c r="V156" s="56"/>
      <c r="W156" s="57"/>
      <c r="X156" s="57"/>
      <c r="Y156" s="57"/>
      <c r="Z156" s="57"/>
      <c r="AA156" s="57"/>
      <c r="AB156" s="57"/>
      <c r="AC156" s="45"/>
      <c r="AD156" s="65"/>
      <c r="AE156" s="56"/>
      <c r="AF156" s="57"/>
      <c r="AG156" s="57"/>
      <c r="AH156" s="57"/>
      <c r="AI156" s="57"/>
      <c r="AJ156" s="57"/>
      <c r="AK156" s="57"/>
      <c r="AL156" s="45"/>
      <c r="AM156" s="65"/>
      <c r="AN156" s="56"/>
      <c r="AO156" s="57"/>
      <c r="AP156" s="57"/>
      <c r="AQ156" s="57"/>
      <c r="AR156" s="57"/>
      <c r="AS156" s="57"/>
      <c r="AT156" s="57"/>
      <c r="AU156" s="45"/>
      <c r="AV156" s="65"/>
      <c r="AW156" s="56"/>
      <c r="AX156" s="55"/>
      <c r="AY156" s="55"/>
      <c r="AZ156" s="55"/>
      <c r="BA156" s="55"/>
      <c r="BB156" s="55"/>
      <c r="BC156" s="55"/>
      <c r="BD156" s="45"/>
      <c r="BE156" s="65"/>
      <c r="BF156" s="55"/>
      <c r="BG156" s="55"/>
      <c r="BH156" s="55"/>
      <c r="BI156" s="55"/>
      <c r="BJ156" s="55"/>
      <c r="BK156" s="55"/>
      <c r="BL156" s="55"/>
      <c r="BM156" s="55"/>
    </row>
    <row r="157" spans="1:65">
      <c r="A157" s="12" t="str">
        <f>Roster!A157</f>
        <v/>
      </c>
      <c r="B157" s="28">
        <f>Roster!C157</f>
        <v>0</v>
      </c>
      <c r="C157" s="55"/>
      <c r="D157" s="56"/>
      <c r="E157" s="57"/>
      <c r="F157" s="57"/>
      <c r="G157" s="57"/>
      <c r="H157" s="57"/>
      <c r="I157" s="57"/>
      <c r="J157" s="57"/>
      <c r="K157" s="45"/>
      <c r="L157" s="58"/>
      <c r="M157" s="56"/>
      <c r="N157" s="57"/>
      <c r="O157" s="57"/>
      <c r="P157" s="57"/>
      <c r="Q157" s="57"/>
      <c r="R157" s="57"/>
      <c r="S157" s="57"/>
      <c r="T157" s="45"/>
      <c r="U157" s="65"/>
      <c r="V157" s="56"/>
      <c r="W157" s="57"/>
      <c r="X157" s="57"/>
      <c r="Y157" s="57"/>
      <c r="Z157" s="57"/>
      <c r="AA157" s="57"/>
      <c r="AB157" s="57"/>
      <c r="AC157" s="45"/>
      <c r="AD157" s="65"/>
      <c r="AE157" s="56"/>
      <c r="AF157" s="57"/>
      <c r="AG157" s="57"/>
      <c r="AH157" s="57"/>
      <c r="AI157" s="57"/>
      <c r="AJ157" s="57"/>
      <c r="AK157" s="57"/>
      <c r="AL157" s="45"/>
      <c r="AM157" s="65"/>
      <c r="AN157" s="56"/>
      <c r="AO157" s="57"/>
      <c r="AP157" s="57"/>
      <c r="AQ157" s="57"/>
      <c r="AR157" s="57"/>
      <c r="AS157" s="57"/>
      <c r="AT157" s="57"/>
      <c r="AU157" s="45"/>
      <c r="AV157" s="65"/>
      <c r="AW157" s="56"/>
      <c r="AX157" s="55"/>
      <c r="AY157" s="55"/>
      <c r="AZ157" s="55"/>
      <c r="BA157" s="55"/>
      <c r="BB157" s="55"/>
      <c r="BC157" s="55"/>
      <c r="BD157" s="45"/>
      <c r="BE157" s="65"/>
      <c r="BF157" s="55"/>
      <c r="BG157" s="55"/>
      <c r="BH157" s="55"/>
      <c r="BI157" s="55"/>
      <c r="BJ157" s="55"/>
      <c r="BK157" s="55"/>
      <c r="BL157" s="55"/>
      <c r="BM157" s="55"/>
    </row>
    <row r="158" spans="1:65">
      <c r="A158" s="12" t="str">
        <f>Roster!A158</f>
        <v/>
      </c>
      <c r="B158" s="28">
        <f>Roster!C158</f>
        <v>0</v>
      </c>
      <c r="C158" s="55"/>
      <c r="D158" s="56"/>
      <c r="E158" s="57"/>
      <c r="F158" s="57"/>
      <c r="G158" s="57"/>
      <c r="H158" s="57"/>
      <c r="I158" s="57"/>
      <c r="J158" s="57"/>
      <c r="K158" s="45"/>
      <c r="L158" s="58"/>
      <c r="M158" s="56"/>
      <c r="N158" s="57"/>
      <c r="O158" s="57"/>
      <c r="P158" s="57"/>
      <c r="Q158" s="57"/>
      <c r="R158" s="57"/>
      <c r="S158" s="57"/>
      <c r="T158" s="45"/>
      <c r="U158" s="65"/>
      <c r="V158" s="56"/>
      <c r="W158" s="57"/>
      <c r="X158" s="57"/>
      <c r="Y158" s="57"/>
      <c r="Z158" s="57"/>
      <c r="AA158" s="57"/>
      <c r="AB158" s="57"/>
      <c r="AC158" s="45"/>
      <c r="AD158" s="65"/>
      <c r="AE158" s="56"/>
      <c r="AF158" s="57"/>
      <c r="AG158" s="57"/>
      <c r="AH158" s="57"/>
      <c r="AI158" s="57"/>
      <c r="AJ158" s="57"/>
      <c r="AK158" s="57"/>
      <c r="AL158" s="45"/>
      <c r="AM158" s="65"/>
      <c r="AN158" s="56"/>
      <c r="AO158" s="57"/>
      <c r="AP158" s="57"/>
      <c r="AQ158" s="57"/>
      <c r="AR158" s="57"/>
      <c r="AS158" s="57"/>
      <c r="AT158" s="57"/>
      <c r="AU158" s="45"/>
      <c r="AV158" s="65"/>
      <c r="AW158" s="56"/>
      <c r="AX158" s="55"/>
      <c r="AY158" s="55"/>
      <c r="AZ158" s="55"/>
      <c r="BA158" s="55"/>
      <c r="BB158" s="55"/>
      <c r="BC158" s="55"/>
      <c r="BD158" s="45"/>
      <c r="BE158" s="65"/>
      <c r="BF158" s="55"/>
      <c r="BG158" s="55"/>
      <c r="BH158" s="55"/>
      <c r="BI158" s="55"/>
      <c r="BJ158" s="55"/>
      <c r="BK158" s="55"/>
      <c r="BL158" s="55"/>
      <c r="BM158" s="55"/>
    </row>
    <row r="159" spans="1:65">
      <c r="A159" s="12" t="str">
        <f>Roster!A159</f>
        <v/>
      </c>
      <c r="B159" s="28">
        <f>Roster!C159</f>
        <v>0</v>
      </c>
      <c r="C159" s="55"/>
      <c r="D159" s="56"/>
      <c r="E159" s="57"/>
      <c r="F159" s="57"/>
      <c r="G159" s="57"/>
      <c r="H159" s="57"/>
      <c r="I159" s="57"/>
      <c r="J159" s="57"/>
      <c r="K159" s="45"/>
      <c r="L159" s="58"/>
      <c r="M159" s="56"/>
      <c r="N159" s="57"/>
      <c r="O159" s="57"/>
      <c r="P159" s="57"/>
      <c r="Q159" s="57"/>
      <c r="R159" s="57"/>
      <c r="S159" s="57"/>
      <c r="T159" s="45"/>
      <c r="U159" s="65"/>
      <c r="V159" s="56"/>
      <c r="W159" s="57"/>
      <c r="X159" s="57"/>
      <c r="Y159" s="57"/>
      <c r="Z159" s="57"/>
      <c r="AA159" s="57"/>
      <c r="AB159" s="57"/>
      <c r="AC159" s="45"/>
      <c r="AD159" s="65"/>
      <c r="AE159" s="56"/>
      <c r="AF159" s="57"/>
      <c r="AG159" s="57"/>
      <c r="AH159" s="57"/>
      <c r="AI159" s="57"/>
      <c r="AJ159" s="57"/>
      <c r="AK159" s="57"/>
      <c r="AL159" s="45"/>
      <c r="AM159" s="65"/>
      <c r="AN159" s="56"/>
      <c r="AO159" s="57"/>
      <c r="AP159" s="57"/>
      <c r="AQ159" s="57"/>
      <c r="AR159" s="57"/>
      <c r="AS159" s="57"/>
      <c r="AT159" s="57"/>
      <c r="AU159" s="45"/>
      <c r="AV159" s="65"/>
      <c r="AW159" s="56"/>
      <c r="AX159" s="55"/>
      <c r="AY159" s="55"/>
      <c r="AZ159" s="55"/>
      <c r="BA159" s="55"/>
      <c r="BB159" s="55"/>
      <c r="BC159" s="55"/>
      <c r="BD159" s="45"/>
      <c r="BE159" s="65"/>
      <c r="BF159" s="55"/>
      <c r="BG159" s="55"/>
      <c r="BH159" s="55"/>
      <c r="BI159" s="55"/>
      <c r="BJ159" s="55"/>
      <c r="BK159" s="55"/>
      <c r="BL159" s="55"/>
      <c r="BM159" s="55"/>
    </row>
    <row r="160" spans="1:65">
      <c r="A160" s="12" t="str">
        <f>Roster!A160</f>
        <v/>
      </c>
      <c r="B160" s="28">
        <f>Roster!C160</f>
        <v>0</v>
      </c>
      <c r="C160" s="55"/>
      <c r="D160" s="56"/>
      <c r="E160" s="57"/>
      <c r="F160" s="57"/>
      <c r="G160" s="57"/>
      <c r="H160" s="57"/>
      <c r="I160" s="57"/>
      <c r="J160" s="57"/>
      <c r="K160" s="45"/>
      <c r="L160" s="58"/>
      <c r="M160" s="56"/>
      <c r="N160" s="57"/>
      <c r="O160" s="57"/>
      <c r="P160" s="57"/>
      <c r="Q160" s="57"/>
      <c r="R160" s="57"/>
      <c r="S160" s="57"/>
      <c r="T160" s="45"/>
      <c r="U160" s="65"/>
      <c r="V160" s="56"/>
      <c r="W160" s="57"/>
      <c r="X160" s="57"/>
      <c r="Y160" s="57"/>
      <c r="Z160" s="57"/>
      <c r="AA160" s="57"/>
      <c r="AB160" s="57"/>
      <c r="AC160" s="45"/>
      <c r="AD160" s="65"/>
      <c r="AE160" s="56"/>
      <c r="AF160" s="57"/>
      <c r="AG160" s="57"/>
      <c r="AH160" s="57"/>
      <c r="AI160" s="57"/>
      <c r="AJ160" s="57"/>
      <c r="AK160" s="57"/>
      <c r="AL160" s="45"/>
      <c r="AM160" s="65"/>
      <c r="AN160" s="56"/>
      <c r="AO160" s="57"/>
      <c r="AP160" s="57"/>
      <c r="AQ160" s="57"/>
      <c r="AR160" s="57"/>
      <c r="AS160" s="57"/>
      <c r="AT160" s="57"/>
      <c r="AU160" s="45"/>
      <c r="AV160" s="65"/>
      <c r="AW160" s="56"/>
      <c r="AX160" s="55"/>
      <c r="AY160" s="55"/>
      <c r="AZ160" s="55"/>
      <c r="BA160" s="55"/>
      <c r="BB160" s="55"/>
      <c r="BC160" s="55"/>
      <c r="BD160" s="45"/>
      <c r="BE160" s="65"/>
      <c r="BF160" s="55"/>
      <c r="BG160" s="55"/>
      <c r="BH160" s="55"/>
      <c r="BI160" s="55"/>
      <c r="BJ160" s="55"/>
      <c r="BK160" s="55"/>
      <c r="BL160" s="55"/>
      <c r="BM160" s="55"/>
    </row>
    <row r="161" spans="1:65">
      <c r="A161" s="12" t="str">
        <f>Roster!A161</f>
        <v/>
      </c>
      <c r="B161" s="28">
        <f>Roster!C161</f>
        <v>0</v>
      </c>
      <c r="C161" s="55"/>
      <c r="D161" s="56"/>
      <c r="E161" s="57"/>
      <c r="F161" s="57"/>
      <c r="G161" s="57"/>
      <c r="H161" s="57"/>
      <c r="I161" s="57"/>
      <c r="J161" s="57"/>
      <c r="K161" s="45"/>
      <c r="L161" s="58"/>
      <c r="M161" s="56"/>
      <c r="N161" s="57"/>
      <c r="O161" s="57"/>
      <c r="P161" s="57"/>
      <c r="Q161" s="57"/>
      <c r="R161" s="57"/>
      <c r="S161" s="57"/>
      <c r="T161" s="45"/>
      <c r="U161" s="65"/>
      <c r="V161" s="56"/>
      <c r="W161" s="57"/>
      <c r="X161" s="57"/>
      <c r="Y161" s="57"/>
      <c r="Z161" s="57"/>
      <c r="AA161" s="57"/>
      <c r="AB161" s="57"/>
      <c r="AC161" s="45"/>
      <c r="AD161" s="65"/>
      <c r="AE161" s="56"/>
      <c r="AF161" s="57"/>
      <c r="AG161" s="57"/>
      <c r="AH161" s="57"/>
      <c r="AI161" s="57"/>
      <c r="AJ161" s="57"/>
      <c r="AK161" s="57"/>
      <c r="AL161" s="45"/>
      <c r="AM161" s="65"/>
      <c r="AN161" s="56"/>
      <c r="AO161" s="57"/>
      <c r="AP161" s="57"/>
      <c r="AQ161" s="57"/>
      <c r="AR161" s="57"/>
      <c r="AS161" s="57"/>
      <c r="AT161" s="57"/>
      <c r="AU161" s="45"/>
      <c r="AV161" s="65"/>
      <c r="AW161" s="56"/>
      <c r="AX161" s="55"/>
      <c r="AY161" s="55"/>
      <c r="AZ161" s="55"/>
      <c r="BA161" s="55"/>
      <c r="BB161" s="55"/>
      <c r="BC161" s="55"/>
      <c r="BD161" s="45"/>
      <c r="BE161" s="65"/>
      <c r="BF161" s="55"/>
      <c r="BG161" s="55"/>
      <c r="BH161" s="55"/>
      <c r="BI161" s="55"/>
      <c r="BJ161" s="55"/>
      <c r="BK161" s="55"/>
      <c r="BL161" s="55"/>
      <c r="BM161" s="55"/>
    </row>
    <row r="162" spans="1:65">
      <c r="A162" s="12" t="str">
        <f>Roster!A162</f>
        <v/>
      </c>
      <c r="B162" s="28">
        <f>Roster!C162</f>
        <v>0</v>
      </c>
      <c r="C162" s="55"/>
      <c r="D162" s="56"/>
      <c r="E162" s="57"/>
      <c r="F162" s="57"/>
      <c r="G162" s="57"/>
      <c r="H162" s="57"/>
      <c r="I162" s="57"/>
      <c r="J162" s="57"/>
      <c r="K162" s="45"/>
      <c r="L162" s="58"/>
      <c r="M162" s="56"/>
      <c r="N162" s="57"/>
      <c r="O162" s="57"/>
      <c r="P162" s="57"/>
      <c r="Q162" s="57"/>
      <c r="R162" s="57"/>
      <c r="S162" s="57"/>
      <c r="T162" s="45"/>
      <c r="U162" s="65"/>
      <c r="V162" s="56"/>
      <c r="W162" s="57"/>
      <c r="X162" s="57"/>
      <c r="Y162" s="57"/>
      <c r="Z162" s="57"/>
      <c r="AA162" s="57"/>
      <c r="AB162" s="57"/>
      <c r="AC162" s="45"/>
      <c r="AD162" s="65"/>
      <c r="AE162" s="56"/>
      <c r="AF162" s="57"/>
      <c r="AG162" s="57"/>
      <c r="AH162" s="57"/>
      <c r="AI162" s="57"/>
      <c r="AJ162" s="57"/>
      <c r="AK162" s="57"/>
      <c r="AL162" s="45"/>
      <c r="AM162" s="65"/>
      <c r="AN162" s="56"/>
      <c r="AO162" s="57"/>
      <c r="AP162" s="57"/>
      <c r="AQ162" s="57"/>
      <c r="AR162" s="57"/>
      <c r="AS162" s="57"/>
      <c r="AT162" s="57"/>
      <c r="AU162" s="45"/>
      <c r="AV162" s="65"/>
      <c r="AW162" s="56"/>
      <c r="AX162" s="55"/>
      <c r="AY162" s="55"/>
      <c r="AZ162" s="55"/>
      <c r="BA162" s="55"/>
      <c r="BB162" s="55"/>
      <c r="BC162" s="55"/>
      <c r="BD162" s="45"/>
      <c r="BE162" s="65"/>
      <c r="BF162" s="55"/>
      <c r="BG162" s="55"/>
      <c r="BH162" s="55"/>
      <c r="BI162" s="55"/>
      <c r="BJ162" s="55"/>
      <c r="BK162" s="55"/>
      <c r="BL162" s="55"/>
      <c r="BM162" s="55"/>
    </row>
    <row r="163" spans="1:65">
      <c r="A163" s="12" t="str">
        <f>Roster!A163</f>
        <v/>
      </c>
      <c r="B163" s="28">
        <f>Roster!C163</f>
        <v>0</v>
      </c>
      <c r="C163" s="55"/>
      <c r="D163" s="56"/>
      <c r="E163" s="57"/>
      <c r="F163" s="57"/>
      <c r="G163" s="57"/>
      <c r="H163" s="57"/>
      <c r="I163" s="57"/>
      <c r="J163" s="57"/>
      <c r="K163" s="45"/>
      <c r="L163" s="58"/>
      <c r="M163" s="56"/>
      <c r="N163" s="57"/>
      <c r="O163" s="57"/>
      <c r="P163" s="57"/>
      <c r="Q163" s="57"/>
      <c r="R163" s="57"/>
      <c r="S163" s="57"/>
      <c r="T163" s="45"/>
      <c r="U163" s="65"/>
      <c r="V163" s="56"/>
      <c r="W163" s="57"/>
      <c r="X163" s="57"/>
      <c r="Y163" s="57"/>
      <c r="Z163" s="57"/>
      <c r="AA163" s="57"/>
      <c r="AB163" s="57"/>
      <c r="AC163" s="45"/>
      <c r="AD163" s="65"/>
      <c r="AE163" s="56"/>
      <c r="AF163" s="57"/>
      <c r="AG163" s="57"/>
      <c r="AH163" s="57"/>
      <c r="AI163" s="57"/>
      <c r="AJ163" s="57"/>
      <c r="AK163" s="57"/>
      <c r="AL163" s="45"/>
      <c r="AM163" s="65"/>
      <c r="AN163" s="56"/>
      <c r="AO163" s="57"/>
      <c r="AP163" s="57"/>
      <c r="AQ163" s="57"/>
      <c r="AR163" s="57"/>
      <c r="AS163" s="57"/>
      <c r="AT163" s="57"/>
      <c r="AU163" s="45"/>
      <c r="AV163" s="65"/>
      <c r="AW163" s="56"/>
      <c r="AX163" s="55"/>
      <c r="AY163" s="55"/>
      <c r="AZ163" s="55"/>
      <c r="BA163" s="55"/>
      <c r="BB163" s="55"/>
      <c r="BC163" s="55"/>
      <c r="BD163" s="45"/>
      <c r="BE163" s="65"/>
      <c r="BF163" s="55"/>
      <c r="BG163" s="55"/>
      <c r="BH163" s="55"/>
      <c r="BI163" s="55"/>
      <c r="BJ163" s="55"/>
      <c r="BK163" s="55"/>
      <c r="BL163" s="55"/>
      <c r="BM163" s="55"/>
    </row>
    <row r="164" spans="1:65">
      <c r="A164" s="12" t="str">
        <f>Roster!A164</f>
        <v/>
      </c>
      <c r="B164" s="28">
        <f>Roster!C164</f>
        <v>0</v>
      </c>
      <c r="C164" s="55"/>
      <c r="D164" s="56"/>
      <c r="E164" s="57"/>
      <c r="F164" s="57"/>
      <c r="G164" s="57"/>
      <c r="H164" s="57"/>
      <c r="I164" s="57"/>
      <c r="J164" s="57"/>
      <c r="K164" s="45"/>
      <c r="L164" s="58"/>
      <c r="M164" s="56"/>
      <c r="N164" s="57"/>
      <c r="O164" s="57"/>
      <c r="P164" s="57"/>
      <c r="Q164" s="57"/>
      <c r="R164" s="57"/>
      <c r="S164" s="57"/>
      <c r="T164" s="45"/>
      <c r="U164" s="65"/>
      <c r="V164" s="56"/>
      <c r="W164" s="57"/>
      <c r="X164" s="57"/>
      <c r="Y164" s="57"/>
      <c r="Z164" s="57"/>
      <c r="AA164" s="57"/>
      <c r="AB164" s="57"/>
      <c r="AC164" s="45"/>
      <c r="AD164" s="65"/>
      <c r="AE164" s="56"/>
      <c r="AF164" s="57"/>
      <c r="AG164" s="57"/>
      <c r="AH164" s="57"/>
      <c r="AI164" s="57"/>
      <c r="AJ164" s="57"/>
      <c r="AK164" s="57"/>
      <c r="AL164" s="45"/>
      <c r="AM164" s="65"/>
      <c r="AN164" s="56"/>
      <c r="AO164" s="57"/>
      <c r="AP164" s="57"/>
      <c r="AQ164" s="57"/>
      <c r="AR164" s="57"/>
      <c r="AS164" s="57"/>
      <c r="AT164" s="57"/>
      <c r="AU164" s="45"/>
      <c r="AV164" s="65"/>
      <c r="AW164" s="56"/>
      <c r="AX164" s="55"/>
      <c r="AY164" s="55"/>
      <c r="AZ164" s="55"/>
      <c r="BA164" s="55"/>
      <c r="BB164" s="55"/>
      <c r="BC164" s="55"/>
      <c r="BD164" s="45"/>
      <c r="BE164" s="65"/>
      <c r="BF164" s="55"/>
      <c r="BG164" s="55"/>
      <c r="BH164" s="55"/>
      <c r="BI164" s="55"/>
      <c r="BJ164" s="55"/>
      <c r="BK164" s="55"/>
      <c r="BL164" s="55"/>
      <c r="BM164" s="55"/>
    </row>
    <row r="165" spans="1:65">
      <c r="A165" s="12" t="str">
        <f>Roster!A165</f>
        <v/>
      </c>
      <c r="B165" s="28">
        <f>Roster!C165</f>
        <v>0</v>
      </c>
      <c r="C165" s="55"/>
      <c r="D165" s="56"/>
      <c r="E165" s="57"/>
      <c r="F165" s="57"/>
      <c r="G165" s="57"/>
      <c r="H165" s="57"/>
      <c r="I165" s="57"/>
      <c r="J165" s="57"/>
      <c r="K165" s="45"/>
      <c r="L165" s="58"/>
      <c r="M165" s="56"/>
      <c r="N165" s="57"/>
      <c r="O165" s="57"/>
      <c r="P165" s="57"/>
      <c r="Q165" s="57"/>
      <c r="R165" s="57"/>
      <c r="S165" s="57"/>
      <c r="T165" s="45"/>
      <c r="U165" s="65"/>
      <c r="V165" s="56"/>
      <c r="W165" s="57"/>
      <c r="X165" s="57"/>
      <c r="Y165" s="57"/>
      <c r="Z165" s="57"/>
      <c r="AA165" s="57"/>
      <c r="AB165" s="57"/>
      <c r="AC165" s="45"/>
      <c r="AD165" s="65"/>
      <c r="AE165" s="56"/>
      <c r="AF165" s="57"/>
      <c r="AG165" s="57"/>
      <c r="AH165" s="57"/>
      <c r="AI165" s="57"/>
      <c r="AJ165" s="57"/>
      <c r="AK165" s="57"/>
      <c r="AL165" s="45"/>
      <c r="AM165" s="65"/>
      <c r="AN165" s="56"/>
      <c r="AO165" s="57"/>
      <c r="AP165" s="57"/>
      <c r="AQ165" s="57"/>
      <c r="AR165" s="57"/>
      <c r="AS165" s="57"/>
      <c r="AT165" s="57"/>
      <c r="AU165" s="45"/>
      <c r="AV165" s="65"/>
      <c r="AW165" s="56"/>
      <c r="AX165" s="55"/>
      <c r="AY165" s="55"/>
      <c r="AZ165" s="55"/>
      <c r="BA165" s="55"/>
      <c r="BB165" s="55"/>
      <c r="BC165" s="55"/>
      <c r="BD165" s="45"/>
      <c r="BE165" s="65"/>
      <c r="BF165" s="55"/>
      <c r="BG165" s="55"/>
      <c r="BH165" s="55"/>
      <c r="BI165" s="55"/>
      <c r="BJ165" s="55"/>
      <c r="BK165" s="55"/>
      <c r="BL165" s="55"/>
      <c r="BM165" s="55"/>
    </row>
    <row r="166" spans="1:65">
      <c r="A166" s="12" t="str">
        <f>Roster!A166</f>
        <v/>
      </c>
      <c r="B166" s="28">
        <f>Roster!C166</f>
        <v>0</v>
      </c>
      <c r="C166" s="55"/>
      <c r="D166" s="56"/>
      <c r="E166" s="57"/>
      <c r="F166" s="57"/>
      <c r="G166" s="57"/>
      <c r="H166" s="57"/>
      <c r="I166" s="57"/>
      <c r="J166" s="57"/>
      <c r="K166" s="45"/>
      <c r="L166" s="58"/>
      <c r="M166" s="56"/>
      <c r="N166" s="57"/>
      <c r="O166" s="57"/>
      <c r="P166" s="57"/>
      <c r="Q166" s="57"/>
      <c r="R166" s="57"/>
      <c r="S166" s="57"/>
      <c r="T166" s="45"/>
      <c r="U166" s="65"/>
      <c r="V166" s="56"/>
      <c r="W166" s="57"/>
      <c r="X166" s="57"/>
      <c r="Y166" s="57"/>
      <c r="Z166" s="57"/>
      <c r="AA166" s="57"/>
      <c r="AB166" s="57"/>
      <c r="AC166" s="45"/>
      <c r="AD166" s="65"/>
      <c r="AE166" s="56"/>
      <c r="AF166" s="57"/>
      <c r="AG166" s="57"/>
      <c r="AH166" s="57"/>
      <c r="AI166" s="57"/>
      <c r="AJ166" s="57"/>
      <c r="AK166" s="57"/>
      <c r="AL166" s="45"/>
      <c r="AM166" s="65"/>
      <c r="AN166" s="56"/>
      <c r="AO166" s="57"/>
      <c r="AP166" s="57"/>
      <c r="AQ166" s="57"/>
      <c r="AR166" s="57"/>
      <c r="AS166" s="57"/>
      <c r="AT166" s="57"/>
      <c r="AU166" s="45"/>
      <c r="AV166" s="65"/>
      <c r="AW166" s="56"/>
      <c r="AX166" s="55"/>
      <c r="AY166" s="55"/>
      <c r="AZ166" s="55"/>
      <c r="BA166" s="55"/>
      <c r="BB166" s="55"/>
      <c r="BC166" s="55"/>
      <c r="BD166" s="45"/>
      <c r="BE166" s="65"/>
      <c r="BF166" s="55"/>
      <c r="BG166" s="55"/>
      <c r="BH166" s="55"/>
      <c r="BI166" s="55"/>
      <c r="BJ166" s="55"/>
      <c r="BK166" s="55"/>
      <c r="BL166" s="55"/>
      <c r="BM166" s="55"/>
    </row>
    <row r="167" spans="1:65">
      <c r="A167" s="12" t="str">
        <f>Roster!A167</f>
        <v/>
      </c>
      <c r="B167" s="28">
        <f>Roster!C167</f>
        <v>0</v>
      </c>
      <c r="C167" s="55"/>
      <c r="D167" s="56"/>
      <c r="E167" s="57"/>
      <c r="F167" s="57"/>
      <c r="G167" s="57"/>
      <c r="H167" s="57"/>
      <c r="I167" s="57"/>
      <c r="J167" s="57"/>
      <c r="K167" s="45"/>
      <c r="L167" s="58"/>
      <c r="M167" s="56"/>
      <c r="N167" s="57"/>
      <c r="O167" s="57"/>
      <c r="P167" s="57"/>
      <c r="Q167" s="57"/>
      <c r="R167" s="57"/>
      <c r="S167" s="57"/>
      <c r="T167" s="45"/>
      <c r="U167" s="65"/>
      <c r="V167" s="56"/>
      <c r="W167" s="57"/>
      <c r="X167" s="57"/>
      <c r="Y167" s="57"/>
      <c r="Z167" s="57"/>
      <c r="AA167" s="57"/>
      <c r="AB167" s="57"/>
      <c r="AC167" s="45"/>
      <c r="AD167" s="65"/>
      <c r="AE167" s="56"/>
      <c r="AF167" s="57"/>
      <c r="AG167" s="57"/>
      <c r="AH167" s="57"/>
      <c r="AI167" s="57"/>
      <c r="AJ167" s="57"/>
      <c r="AK167" s="57"/>
      <c r="AL167" s="45"/>
      <c r="AM167" s="65"/>
      <c r="AN167" s="56"/>
      <c r="AO167" s="57"/>
      <c r="AP167" s="57"/>
      <c r="AQ167" s="57"/>
      <c r="AR167" s="57"/>
      <c r="AS167" s="57"/>
      <c r="AT167" s="57"/>
      <c r="AU167" s="45"/>
      <c r="AV167" s="65"/>
      <c r="AW167" s="56"/>
      <c r="AX167" s="55"/>
      <c r="AY167" s="55"/>
      <c r="AZ167" s="55"/>
      <c r="BA167" s="55"/>
      <c r="BB167" s="55"/>
      <c r="BC167" s="55"/>
      <c r="BD167" s="45"/>
      <c r="BE167" s="65"/>
      <c r="BF167" s="55"/>
      <c r="BG167" s="55"/>
      <c r="BH167" s="55"/>
      <c r="BI167" s="55"/>
      <c r="BJ167" s="55"/>
      <c r="BK167" s="55"/>
      <c r="BL167" s="55"/>
      <c r="BM167" s="55"/>
    </row>
    <row r="168" spans="1:65">
      <c r="A168" s="12" t="str">
        <f>Roster!A168</f>
        <v/>
      </c>
      <c r="B168" s="28">
        <f>Roster!C168</f>
        <v>0</v>
      </c>
      <c r="C168" s="55"/>
      <c r="D168" s="56"/>
      <c r="E168" s="57"/>
      <c r="F168" s="57"/>
      <c r="G168" s="57"/>
      <c r="H168" s="57"/>
      <c r="I168" s="57"/>
      <c r="J168" s="57"/>
      <c r="K168" s="45"/>
      <c r="L168" s="58"/>
      <c r="M168" s="56"/>
      <c r="N168" s="57"/>
      <c r="O168" s="57"/>
      <c r="P168" s="57"/>
      <c r="Q168" s="57"/>
      <c r="R168" s="57"/>
      <c r="S168" s="57"/>
      <c r="T168" s="45"/>
      <c r="U168" s="65"/>
      <c r="V168" s="56"/>
      <c r="W168" s="57"/>
      <c r="X168" s="57"/>
      <c r="Y168" s="57"/>
      <c r="Z168" s="57"/>
      <c r="AA168" s="57"/>
      <c r="AB168" s="57"/>
      <c r="AC168" s="45"/>
      <c r="AD168" s="65"/>
      <c r="AE168" s="56"/>
      <c r="AF168" s="57"/>
      <c r="AG168" s="57"/>
      <c r="AH168" s="57"/>
      <c r="AI168" s="57"/>
      <c r="AJ168" s="57"/>
      <c r="AK168" s="57"/>
      <c r="AL168" s="45"/>
      <c r="AM168" s="65"/>
      <c r="AN168" s="56"/>
      <c r="AO168" s="57"/>
      <c r="AP168" s="57"/>
      <c r="AQ168" s="57"/>
      <c r="AR168" s="57"/>
      <c r="AS168" s="57"/>
      <c r="AT168" s="57"/>
      <c r="AU168" s="45"/>
      <c r="AV168" s="65"/>
      <c r="AW168" s="56"/>
      <c r="AX168" s="55"/>
      <c r="AY168" s="55"/>
      <c r="AZ168" s="55"/>
      <c r="BA168" s="55"/>
      <c r="BB168" s="55"/>
      <c r="BC168" s="55"/>
      <c r="BD168" s="45"/>
      <c r="BE168" s="65"/>
      <c r="BF168" s="55"/>
      <c r="BG168" s="55"/>
      <c r="BH168" s="55"/>
      <c r="BI168" s="55"/>
      <c r="BJ168" s="55"/>
      <c r="BK168" s="55"/>
      <c r="BL168" s="55"/>
      <c r="BM168" s="55"/>
    </row>
    <row r="169" spans="1:65">
      <c r="A169" s="12" t="str">
        <f>Roster!A169</f>
        <v/>
      </c>
      <c r="B169" s="28">
        <f>Roster!C169</f>
        <v>0</v>
      </c>
      <c r="C169" s="55"/>
      <c r="D169" s="56"/>
      <c r="E169" s="57"/>
      <c r="F169" s="57"/>
      <c r="G169" s="57"/>
      <c r="H169" s="57"/>
      <c r="I169" s="57"/>
      <c r="J169" s="57"/>
      <c r="K169" s="45"/>
      <c r="L169" s="58"/>
      <c r="M169" s="56"/>
      <c r="N169" s="57"/>
      <c r="O169" s="57"/>
      <c r="P169" s="57"/>
      <c r="Q169" s="57"/>
      <c r="R169" s="57"/>
      <c r="S169" s="57"/>
      <c r="T169" s="45"/>
      <c r="U169" s="65"/>
      <c r="V169" s="56"/>
      <c r="W169" s="57"/>
      <c r="X169" s="57"/>
      <c r="Y169" s="57"/>
      <c r="Z169" s="57"/>
      <c r="AA169" s="57"/>
      <c r="AB169" s="57"/>
      <c r="AC169" s="45"/>
      <c r="AD169" s="65"/>
      <c r="AE169" s="56"/>
      <c r="AF169" s="57"/>
      <c r="AG169" s="57"/>
      <c r="AH169" s="57"/>
      <c r="AI169" s="57"/>
      <c r="AJ169" s="57"/>
      <c r="AK169" s="57"/>
      <c r="AL169" s="45"/>
      <c r="AM169" s="65"/>
      <c r="AN169" s="56"/>
      <c r="AO169" s="57"/>
      <c r="AP169" s="57"/>
      <c r="AQ169" s="57"/>
      <c r="AR169" s="57"/>
      <c r="AS169" s="57"/>
      <c r="AT169" s="57"/>
      <c r="AU169" s="45"/>
      <c r="AV169" s="65"/>
      <c r="AW169" s="56"/>
      <c r="AX169" s="55"/>
      <c r="AY169" s="55"/>
      <c r="AZ169" s="55"/>
      <c r="BA169" s="55"/>
      <c r="BB169" s="55"/>
      <c r="BC169" s="55"/>
      <c r="BD169" s="45"/>
      <c r="BE169" s="65"/>
      <c r="BF169" s="55"/>
      <c r="BG169" s="55"/>
      <c r="BH169" s="55"/>
      <c r="BI169" s="55"/>
      <c r="BJ169" s="55"/>
      <c r="BK169" s="55"/>
      <c r="BL169" s="55"/>
      <c r="BM169" s="55"/>
    </row>
    <row r="170" spans="1:65">
      <c r="A170" s="12" t="str">
        <f>Roster!A170</f>
        <v/>
      </c>
      <c r="B170" s="28">
        <f>Roster!C170</f>
        <v>0</v>
      </c>
      <c r="C170" s="55"/>
      <c r="D170" s="56"/>
      <c r="E170" s="57"/>
      <c r="F170" s="57"/>
      <c r="G170" s="57"/>
      <c r="H170" s="57"/>
      <c r="I170" s="57"/>
      <c r="J170" s="57"/>
      <c r="K170" s="45"/>
      <c r="L170" s="58"/>
      <c r="M170" s="56"/>
      <c r="N170" s="57"/>
      <c r="O170" s="57"/>
      <c r="P170" s="57"/>
      <c r="Q170" s="57"/>
      <c r="R170" s="57"/>
      <c r="S170" s="57"/>
      <c r="T170" s="45"/>
      <c r="U170" s="65"/>
      <c r="V170" s="56"/>
      <c r="W170" s="57"/>
      <c r="X170" s="57"/>
      <c r="Y170" s="57"/>
      <c r="Z170" s="57"/>
      <c r="AA170" s="57"/>
      <c r="AB170" s="57"/>
      <c r="AC170" s="45"/>
      <c r="AD170" s="65"/>
      <c r="AE170" s="56"/>
      <c r="AF170" s="57"/>
      <c r="AG170" s="57"/>
      <c r="AH170" s="57"/>
      <c r="AI170" s="57"/>
      <c r="AJ170" s="57"/>
      <c r="AK170" s="57"/>
      <c r="AL170" s="45"/>
      <c r="AM170" s="65"/>
      <c r="AN170" s="56"/>
      <c r="AO170" s="57"/>
      <c r="AP170" s="57"/>
      <c r="AQ170" s="57"/>
      <c r="AR170" s="57"/>
      <c r="AS170" s="57"/>
      <c r="AT170" s="57"/>
      <c r="AU170" s="45"/>
      <c r="AV170" s="65"/>
      <c r="AW170" s="56"/>
      <c r="AX170" s="55"/>
      <c r="AY170" s="55"/>
      <c r="AZ170" s="55"/>
      <c r="BA170" s="55"/>
      <c r="BB170" s="55"/>
      <c r="BC170" s="55"/>
      <c r="BD170" s="45"/>
      <c r="BE170" s="65"/>
      <c r="BF170" s="55"/>
      <c r="BG170" s="55"/>
      <c r="BH170" s="55"/>
      <c r="BI170" s="55"/>
      <c r="BJ170" s="55"/>
      <c r="BK170" s="55"/>
      <c r="BL170" s="55"/>
      <c r="BM170" s="55"/>
    </row>
    <row r="171" spans="1:65">
      <c r="A171" s="12" t="str">
        <f>Roster!A171</f>
        <v/>
      </c>
      <c r="B171" s="28">
        <f>Roster!C171</f>
        <v>0</v>
      </c>
      <c r="C171" s="55"/>
      <c r="D171" s="56"/>
      <c r="E171" s="57"/>
      <c r="F171" s="57"/>
      <c r="G171" s="57"/>
      <c r="H171" s="57"/>
      <c r="I171" s="57"/>
      <c r="J171" s="57"/>
      <c r="K171" s="45"/>
      <c r="L171" s="58"/>
      <c r="M171" s="56"/>
      <c r="N171" s="57"/>
      <c r="O171" s="57"/>
      <c r="P171" s="57"/>
      <c r="Q171" s="57"/>
      <c r="R171" s="57"/>
      <c r="S171" s="57"/>
      <c r="T171" s="45"/>
      <c r="U171" s="65"/>
      <c r="V171" s="56"/>
      <c r="W171" s="57"/>
      <c r="X171" s="57"/>
      <c r="Y171" s="57"/>
      <c r="Z171" s="57"/>
      <c r="AA171" s="57"/>
      <c r="AB171" s="57"/>
      <c r="AC171" s="45"/>
      <c r="AD171" s="65"/>
      <c r="AE171" s="56"/>
      <c r="AF171" s="57"/>
      <c r="AG171" s="57"/>
      <c r="AH171" s="57"/>
      <c r="AI171" s="57"/>
      <c r="AJ171" s="57"/>
      <c r="AK171" s="57"/>
      <c r="AL171" s="45"/>
      <c r="AM171" s="65"/>
      <c r="AN171" s="56"/>
      <c r="AO171" s="57"/>
      <c r="AP171" s="57"/>
      <c r="AQ171" s="57"/>
      <c r="AR171" s="57"/>
      <c r="AS171" s="57"/>
      <c r="AT171" s="57"/>
      <c r="AU171" s="45"/>
      <c r="AV171" s="65"/>
      <c r="AW171" s="56"/>
      <c r="AX171" s="55"/>
      <c r="AY171" s="55"/>
      <c r="AZ171" s="55"/>
      <c r="BA171" s="55"/>
      <c r="BB171" s="55"/>
      <c r="BC171" s="55"/>
      <c r="BD171" s="45"/>
      <c r="BE171" s="65"/>
      <c r="BF171" s="55"/>
      <c r="BG171" s="55"/>
      <c r="BH171" s="55"/>
      <c r="BI171" s="55"/>
      <c r="BJ171" s="55"/>
      <c r="BK171" s="55"/>
      <c r="BL171" s="55"/>
      <c r="BM171" s="55"/>
    </row>
    <row r="172" spans="1:65">
      <c r="A172" s="12" t="str">
        <f>Roster!A172</f>
        <v/>
      </c>
      <c r="B172" s="28">
        <f>Roster!C172</f>
        <v>0</v>
      </c>
      <c r="C172" s="55"/>
      <c r="D172" s="56"/>
      <c r="E172" s="57"/>
      <c r="F172" s="57"/>
      <c r="G172" s="57"/>
      <c r="H172" s="57"/>
      <c r="I172" s="57"/>
      <c r="J172" s="57"/>
      <c r="K172" s="45"/>
      <c r="L172" s="58"/>
      <c r="M172" s="56"/>
      <c r="N172" s="57"/>
      <c r="O172" s="57"/>
      <c r="P172" s="57"/>
      <c r="Q172" s="57"/>
      <c r="R172" s="57"/>
      <c r="S172" s="57"/>
      <c r="T172" s="45"/>
      <c r="U172" s="65"/>
      <c r="V172" s="56"/>
      <c r="W172" s="57"/>
      <c r="X172" s="57"/>
      <c r="Y172" s="57"/>
      <c r="Z172" s="57"/>
      <c r="AA172" s="57"/>
      <c r="AB172" s="57"/>
      <c r="AC172" s="45"/>
      <c r="AD172" s="65"/>
      <c r="AE172" s="56"/>
      <c r="AF172" s="57"/>
      <c r="AG172" s="57"/>
      <c r="AH172" s="57"/>
      <c r="AI172" s="57"/>
      <c r="AJ172" s="57"/>
      <c r="AK172" s="57"/>
      <c r="AL172" s="45"/>
      <c r="AM172" s="65"/>
      <c r="AN172" s="56"/>
      <c r="AO172" s="57"/>
      <c r="AP172" s="57"/>
      <c r="AQ172" s="57"/>
      <c r="AR172" s="57"/>
      <c r="AS172" s="57"/>
      <c r="AT172" s="57"/>
      <c r="AU172" s="45"/>
      <c r="AV172" s="65"/>
      <c r="AW172" s="56"/>
      <c r="AX172" s="55"/>
      <c r="AY172" s="55"/>
      <c r="AZ172" s="55"/>
      <c r="BA172" s="55"/>
      <c r="BB172" s="55"/>
      <c r="BC172" s="55"/>
      <c r="BD172" s="45"/>
      <c r="BE172" s="65"/>
      <c r="BF172" s="55"/>
      <c r="BG172" s="55"/>
      <c r="BH172" s="55"/>
      <c r="BI172" s="55"/>
      <c r="BJ172" s="55"/>
      <c r="BK172" s="55"/>
      <c r="BL172" s="55"/>
      <c r="BM172" s="55"/>
    </row>
    <row r="173" spans="1:65">
      <c r="A173" s="12" t="str">
        <f>Roster!A173</f>
        <v/>
      </c>
      <c r="B173" s="28">
        <f>Roster!C173</f>
        <v>0</v>
      </c>
      <c r="C173" s="55"/>
      <c r="D173" s="56"/>
      <c r="E173" s="57"/>
      <c r="F173" s="57"/>
      <c r="G173" s="57"/>
      <c r="H173" s="57"/>
      <c r="I173" s="57"/>
      <c r="J173" s="57"/>
      <c r="K173" s="45"/>
      <c r="L173" s="58"/>
      <c r="M173" s="56"/>
      <c r="N173" s="57"/>
      <c r="O173" s="57"/>
      <c r="P173" s="57"/>
      <c r="Q173" s="57"/>
      <c r="R173" s="57"/>
      <c r="S173" s="57"/>
      <c r="T173" s="45"/>
      <c r="U173" s="65"/>
      <c r="V173" s="56"/>
      <c r="W173" s="57"/>
      <c r="X173" s="57"/>
      <c r="Y173" s="57"/>
      <c r="Z173" s="57"/>
      <c r="AA173" s="57"/>
      <c r="AB173" s="57"/>
      <c r="AC173" s="45"/>
      <c r="AD173" s="65"/>
      <c r="AE173" s="56"/>
      <c r="AF173" s="57"/>
      <c r="AG173" s="57"/>
      <c r="AH173" s="57"/>
      <c r="AI173" s="57"/>
      <c r="AJ173" s="57"/>
      <c r="AK173" s="57"/>
      <c r="AL173" s="45"/>
      <c r="AM173" s="65"/>
      <c r="AN173" s="56"/>
      <c r="AO173" s="57"/>
      <c r="AP173" s="57"/>
      <c r="AQ173" s="57"/>
      <c r="AR173" s="57"/>
      <c r="AS173" s="57"/>
      <c r="AT173" s="57"/>
      <c r="AU173" s="45"/>
      <c r="AV173" s="65"/>
      <c r="AW173" s="56"/>
      <c r="AX173" s="55"/>
      <c r="AY173" s="55"/>
      <c r="AZ173" s="55"/>
      <c r="BA173" s="55"/>
      <c r="BB173" s="55"/>
      <c r="BC173" s="55"/>
      <c r="BD173" s="45"/>
      <c r="BE173" s="65"/>
      <c r="BF173" s="55"/>
      <c r="BG173" s="55"/>
      <c r="BH173" s="55"/>
      <c r="BI173" s="55"/>
      <c r="BJ173" s="55"/>
      <c r="BK173" s="55"/>
      <c r="BL173" s="55"/>
      <c r="BM173" s="55"/>
    </row>
    <row r="174" spans="1:65">
      <c r="A174" s="12" t="str">
        <f>Roster!A174</f>
        <v/>
      </c>
      <c r="B174" s="28">
        <f>Roster!C174</f>
        <v>0</v>
      </c>
      <c r="C174" s="55"/>
      <c r="D174" s="56"/>
      <c r="E174" s="57"/>
      <c r="F174" s="57"/>
      <c r="G174" s="57"/>
      <c r="H174" s="57"/>
      <c r="I174" s="57"/>
      <c r="J174" s="57"/>
      <c r="K174" s="45"/>
      <c r="L174" s="58"/>
      <c r="M174" s="56"/>
      <c r="N174" s="57"/>
      <c r="O174" s="57"/>
      <c r="P174" s="57"/>
      <c r="Q174" s="57"/>
      <c r="R174" s="57"/>
      <c r="S174" s="57"/>
      <c r="T174" s="45"/>
      <c r="U174" s="65"/>
      <c r="V174" s="56"/>
      <c r="W174" s="57"/>
      <c r="X174" s="57"/>
      <c r="Y174" s="57"/>
      <c r="Z174" s="57"/>
      <c r="AA174" s="57"/>
      <c r="AB174" s="57"/>
      <c r="AC174" s="45"/>
      <c r="AD174" s="65"/>
      <c r="AE174" s="56"/>
      <c r="AF174" s="57"/>
      <c r="AG174" s="57"/>
      <c r="AH174" s="57"/>
      <c r="AI174" s="57"/>
      <c r="AJ174" s="57"/>
      <c r="AK174" s="57"/>
      <c r="AL174" s="45"/>
      <c r="AM174" s="65"/>
      <c r="AN174" s="56"/>
      <c r="AO174" s="57"/>
      <c r="AP174" s="57"/>
      <c r="AQ174" s="57"/>
      <c r="AR174" s="57"/>
      <c r="AS174" s="57"/>
      <c r="AT174" s="57"/>
      <c r="AU174" s="45"/>
      <c r="AV174" s="65"/>
      <c r="AW174" s="56"/>
      <c r="AX174" s="55"/>
      <c r="AY174" s="55"/>
      <c r="AZ174" s="55"/>
      <c r="BA174" s="55"/>
      <c r="BB174" s="55"/>
      <c r="BC174" s="55"/>
      <c r="BD174" s="45"/>
      <c r="BE174" s="65"/>
      <c r="BF174" s="55"/>
      <c r="BG174" s="55"/>
      <c r="BH174" s="55"/>
      <c r="BI174" s="55"/>
      <c r="BJ174" s="55"/>
      <c r="BK174" s="55"/>
      <c r="BL174" s="55"/>
      <c r="BM174" s="55"/>
    </row>
    <row r="175" spans="1:65">
      <c r="A175" s="12" t="str">
        <f>Roster!A175</f>
        <v/>
      </c>
      <c r="B175" s="28">
        <f>Roster!C175</f>
        <v>0</v>
      </c>
      <c r="C175" s="55"/>
      <c r="D175" s="56"/>
      <c r="E175" s="57"/>
      <c r="F175" s="57"/>
      <c r="G175" s="57"/>
      <c r="H175" s="57"/>
      <c r="I175" s="57"/>
      <c r="J175" s="57"/>
      <c r="K175" s="45"/>
      <c r="L175" s="58"/>
      <c r="M175" s="56"/>
      <c r="N175" s="57"/>
      <c r="O175" s="57"/>
      <c r="P175" s="57"/>
      <c r="Q175" s="57"/>
      <c r="R175" s="57"/>
      <c r="S175" s="57"/>
      <c r="T175" s="45"/>
      <c r="U175" s="65"/>
      <c r="V175" s="56"/>
      <c r="W175" s="57"/>
      <c r="X175" s="57"/>
      <c r="Y175" s="57"/>
      <c r="Z175" s="57"/>
      <c r="AA175" s="57"/>
      <c r="AB175" s="57"/>
      <c r="AC175" s="45"/>
      <c r="AD175" s="65"/>
      <c r="AE175" s="56"/>
      <c r="AF175" s="57"/>
      <c r="AG175" s="57"/>
      <c r="AH175" s="57"/>
      <c r="AI175" s="57"/>
      <c r="AJ175" s="57"/>
      <c r="AK175" s="57"/>
      <c r="AL175" s="45"/>
      <c r="AM175" s="65"/>
      <c r="AN175" s="56"/>
      <c r="AO175" s="57"/>
      <c r="AP175" s="57"/>
      <c r="AQ175" s="57"/>
      <c r="AR175" s="57"/>
      <c r="AS175" s="57"/>
      <c r="AT175" s="57"/>
      <c r="AU175" s="45"/>
      <c r="AV175" s="65"/>
      <c r="AW175" s="56"/>
      <c r="AX175" s="55"/>
      <c r="AY175" s="55"/>
      <c r="AZ175" s="55"/>
      <c r="BA175" s="55"/>
      <c r="BB175" s="55"/>
      <c r="BC175" s="55"/>
      <c r="BD175" s="45"/>
      <c r="BE175" s="65"/>
      <c r="BF175" s="55"/>
      <c r="BG175" s="55"/>
      <c r="BH175" s="55"/>
      <c r="BI175" s="55"/>
      <c r="BJ175" s="55"/>
      <c r="BK175" s="55"/>
      <c r="BL175" s="55"/>
      <c r="BM175" s="55"/>
    </row>
    <row r="176" spans="1:65">
      <c r="A176" s="12" t="str">
        <f>Roster!A176</f>
        <v/>
      </c>
      <c r="B176" s="28">
        <f>Roster!C176</f>
        <v>0</v>
      </c>
      <c r="C176" s="55"/>
      <c r="D176" s="56"/>
      <c r="E176" s="57"/>
      <c r="F176" s="57"/>
      <c r="G176" s="57"/>
      <c r="H176" s="57"/>
      <c r="I176" s="57"/>
      <c r="J176" s="57"/>
      <c r="K176" s="45"/>
      <c r="L176" s="58"/>
      <c r="M176" s="56"/>
      <c r="N176" s="57"/>
      <c r="O176" s="57"/>
      <c r="P176" s="57"/>
      <c r="Q176" s="57"/>
      <c r="R176" s="57"/>
      <c r="S176" s="57"/>
      <c r="T176" s="45"/>
      <c r="U176" s="65"/>
      <c r="V176" s="56"/>
      <c r="W176" s="57"/>
      <c r="X176" s="57"/>
      <c r="Y176" s="57"/>
      <c r="Z176" s="57"/>
      <c r="AA176" s="57"/>
      <c r="AB176" s="57"/>
      <c r="AC176" s="45"/>
      <c r="AD176" s="65"/>
      <c r="AE176" s="56"/>
      <c r="AF176" s="57"/>
      <c r="AG176" s="57"/>
      <c r="AH176" s="57"/>
      <c r="AI176" s="57"/>
      <c r="AJ176" s="57"/>
      <c r="AK176" s="57"/>
      <c r="AL176" s="45"/>
      <c r="AM176" s="65"/>
      <c r="AN176" s="56"/>
      <c r="AO176" s="57"/>
      <c r="AP176" s="57"/>
      <c r="AQ176" s="57"/>
      <c r="AR176" s="57"/>
      <c r="AS176" s="57"/>
      <c r="AT176" s="57"/>
      <c r="AU176" s="45"/>
      <c r="AV176" s="65"/>
      <c r="AW176" s="56"/>
      <c r="AX176" s="55"/>
      <c r="AY176" s="55"/>
      <c r="AZ176" s="55"/>
      <c r="BA176" s="55"/>
      <c r="BB176" s="55"/>
      <c r="BC176" s="55"/>
      <c r="BD176" s="45"/>
      <c r="BE176" s="65"/>
      <c r="BF176" s="55"/>
      <c r="BG176" s="55"/>
      <c r="BH176" s="55"/>
      <c r="BI176" s="55"/>
      <c r="BJ176" s="55"/>
      <c r="BK176" s="55"/>
      <c r="BL176" s="55"/>
      <c r="BM176" s="55"/>
    </row>
    <row r="177" spans="1:65">
      <c r="A177" s="12" t="str">
        <f>Roster!A177</f>
        <v/>
      </c>
      <c r="B177" s="28">
        <f>Roster!C177</f>
        <v>0</v>
      </c>
      <c r="C177" s="55"/>
      <c r="D177" s="56"/>
      <c r="E177" s="57"/>
      <c r="F177" s="57"/>
      <c r="G177" s="57"/>
      <c r="H177" s="57"/>
      <c r="I177" s="57"/>
      <c r="J177" s="57"/>
      <c r="K177" s="45"/>
      <c r="L177" s="58"/>
      <c r="M177" s="56"/>
      <c r="N177" s="57"/>
      <c r="O177" s="57"/>
      <c r="P177" s="57"/>
      <c r="Q177" s="57"/>
      <c r="R177" s="57"/>
      <c r="S177" s="57"/>
      <c r="T177" s="45"/>
      <c r="U177" s="65"/>
      <c r="V177" s="56"/>
      <c r="W177" s="57"/>
      <c r="X177" s="57"/>
      <c r="Y177" s="57"/>
      <c r="Z177" s="57"/>
      <c r="AA177" s="57"/>
      <c r="AB177" s="57"/>
      <c r="AC177" s="45"/>
      <c r="AD177" s="65"/>
      <c r="AE177" s="56"/>
      <c r="AF177" s="57"/>
      <c r="AG177" s="57"/>
      <c r="AH177" s="57"/>
      <c r="AI177" s="57"/>
      <c r="AJ177" s="57"/>
      <c r="AK177" s="57"/>
      <c r="AL177" s="45"/>
      <c r="AM177" s="65"/>
      <c r="AN177" s="56"/>
      <c r="AO177" s="57"/>
      <c r="AP177" s="57"/>
      <c r="AQ177" s="57"/>
      <c r="AR177" s="57"/>
      <c r="AS177" s="57"/>
      <c r="AT177" s="57"/>
      <c r="AU177" s="45"/>
      <c r="AV177" s="65"/>
      <c r="AW177" s="56"/>
      <c r="AX177" s="55"/>
      <c r="AY177" s="55"/>
      <c r="AZ177" s="55"/>
      <c r="BA177" s="55"/>
      <c r="BB177" s="55"/>
      <c r="BC177" s="55"/>
      <c r="BD177" s="45"/>
      <c r="BE177" s="65"/>
      <c r="BF177" s="55"/>
      <c r="BG177" s="55"/>
      <c r="BH177" s="55"/>
      <c r="BI177" s="55"/>
      <c r="BJ177" s="55"/>
      <c r="BK177" s="55"/>
      <c r="BL177" s="55"/>
      <c r="BM177" s="55"/>
    </row>
    <row r="178" spans="1:65">
      <c r="A178" s="12" t="str">
        <f>Roster!A178</f>
        <v/>
      </c>
      <c r="B178" s="28">
        <f>Roster!C178</f>
        <v>0</v>
      </c>
      <c r="C178" s="55"/>
      <c r="D178" s="56"/>
      <c r="E178" s="57"/>
      <c r="F178" s="57"/>
      <c r="G178" s="57"/>
      <c r="H178" s="57"/>
      <c r="I178" s="57"/>
      <c r="J178" s="57"/>
      <c r="K178" s="45"/>
      <c r="L178" s="58"/>
      <c r="M178" s="56"/>
      <c r="N178" s="57"/>
      <c r="O178" s="57"/>
      <c r="P178" s="57"/>
      <c r="Q178" s="57"/>
      <c r="R178" s="57"/>
      <c r="S178" s="57"/>
      <c r="T178" s="45"/>
      <c r="U178" s="65"/>
      <c r="V178" s="56"/>
      <c r="W178" s="57"/>
      <c r="X178" s="57"/>
      <c r="Y178" s="57"/>
      <c r="Z178" s="57"/>
      <c r="AA178" s="57"/>
      <c r="AB178" s="57"/>
      <c r="AC178" s="45"/>
      <c r="AD178" s="65"/>
      <c r="AE178" s="56"/>
      <c r="AF178" s="57"/>
      <c r="AG178" s="57"/>
      <c r="AH178" s="57"/>
      <c r="AI178" s="57"/>
      <c r="AJ178" s="57"/>
      <c r="AK178" s="57"/>
      <c r="AL178" s="45"/>
      <c r="AM178" s="65"/>
      <c r="AN178" s="56"/>
      <c r="AO178" s="57"/>
      <c r="AP178" s="57"/>
      <c r="AQ178" s="57"/>
      <c r="AR178" s="57"/>
      <c r="AS178" s="57"/>
      <c r="AT178" s="57"/>
      <c r="AU178" s="45"/>
      <c r="AV178" s="65"/>
      <c r="AW178" s="56"/>
      <c r="AX178" s="55"/>
      <c r="AY178" s="55"/>
      <c r="AZ178" s="55"/>
      <c r="BA178" s="55"/>
      <c r="BB178" s="55"/>
      <c r="BC178" s="55"/>
      <c r="BD178" s="45"/>
      <c r="BE178" s="65"/>
      <c r="BF178" s="55"/>
      <c r="BG178" s="55"/>
      <c r="BH178" s="55"/>
      <c r="BI178" s="55"/>
      <c r="BJ178" s="55"/>
      <c r="BK178" s="55"/>
      <c r="BL178" s="55"/>
      <c r="BM178" s="55"/>
    </row>
    <row r="179" spans="1:65">
      <c r="A179" s="12" t="str">
        <f>Roster!A179</f>
        <v/>
      </c>
      <c r="B179" s="28">
        <f>Roster!C179</f>
        <v>0</v>
      </c>
      <c r="C179" s="55"/>
      <c r="D179" s="56"/>
      <c r="E179" s="57"/>
      <c r="F179" s="57"/>
      <c r="G179" s="57"/>
      <c r="H179" s="57"/>
      <c r="I179" s="57"/>
      <c r="J179" s="57"/>
      <c r="K179" s="45"/>
      <c r="L179" s="58"/>
      <c r="M179" s="56"/>
      <c r="N179" s="57"/>
      <c r="O179" s="57"/>
      <c r="P179" s="57"/>
      <c r="Q179" s="57"/>
      <c r="R179" s="57"/>
      <c r="S179" s="57"/>
      <c r="T179" s="45"/>
      <c r="U179" s="65"/>
      <c r="V179" s="56"/>
      <c r="W179" s="57"/>
      <c r="X179" s="57"/>
      <c r="Y179" s="57"/>
      <c r="Z179" s="57"/>
      <c r="AA179" s="57"/>
      <c r="AB179" s="57"/>
      <c r="AC179" s="45"/>
      <c r="AD179" s="65"/>
      <c r="AE179" s="56"/>
      <c r="AF179" s="57"/>
      <c r="AG179" s="57"/>
      <c r="AH179" s="57"/>
      <c r="AI179" s="57"/>
      <c r="AJ179" s="57"/>
      <c r="AK179" s="57"/>
      <c r="AL179" s="45"/>
      <c r="AM179" s="65"/>
      <c r="AN179" s="56"/>
      <c r="AO179" s="57"/>
      <c r="AP179" s="57"/>
      <c r="AQ179" s="57"/>
      <c r="AR179" s="57"/>
      <c r="AS179" s="57"/>
      <c r="AT179" s="57"/>
      <c r="AU179" s="45"/>
      <c r="AV179" s="65"/>
      <c r="AW179" s="56"/>
      <c r="AX179" s="55"/>
      <c r="AY179" s="55"/>
      <c r="AZ179" s="55"/>
      <c r="BA179" s="55"/>
      <c r="BB179" s="55"/>
      <c r="BC179" s="55"/>
      <c r="BD179" s="45"/>
      <c r="BE179" s="65"/>
      <c r="BF179" s="55"/>
      <c r="BG179" s="55"/>
      <c r="BH179" s="55"/>
      <c r="BI179" s="55"/>
      <c r="BJ179" s="55"/>
      <c r="BK179" s="55"/>
      <c r="BL179" s="55"/>
      <c r="BM179" s="55"/>
    </row>
    <row r="180" spans="1:65">
      <c r="A180" s="12" t="str">
        <f>Roster!A180</f>
        <v/>
      </c>
      <c r="B180" s="28">
        <f>Roster!C180</f>
        <v>0</v>
      </c>
      <c r="C180" s="55"/>
      <c r="D180" s="56"/>
      <c r="E180" s="57"/>
      <c r="F180" s="57"/>
      <c r="G180" s="57"/>
      <c r="H180" s="57"/>
      <c r="I180" s="57"/>
      <c r="J180" s="57"/>
      <c r="K180" s="45"/>
      <c r="L180" s="58"/>
      <c r="M180" s="56"/>
      <c r="N180" s="57"/>
      <c r="O180" s="57"/>
      <c r="P180" s="57"/>
      <c r="Q180" s="57"/>
      <c r="R180" s="57"/>
      <c r="S180" s="57"/>
      <c r="T180" s="45"/>
      <c r="U180" s="65"/>
      <c r="V180" s="56"/>
      <c r="W180" s="57"/>
      <c r="X180" s="57"/>
      <c r="Y180" s="57"/>
      <c r="Z180" s="57"/>
      <c r="AA180" s="57"/>
      <c r="AB180" s="57"/>
      <c r="AC180" s="45"/>
      <c r="AD180" s="65"/>
      <c r="AE180" s="56"/>
      <c r="AF180" s="57"/>
      <c r="AG180" s="57"/>
      <c r="AH180" s="57"/>
      <c r="AI180" s="57"/>
      <c r="AJ180" s="57"/>
      <c r="AK180" s="57"/>
      <c r="AL180" s="45"/>
      <c r="AM180" s="65"/>
      <c r="AN180" s="56"/>
      <c r="AO180" s="57"/>
      <c r="AP180" s="57"/>
      <c r="AQ180" s="57"/>
      <c r="AR180" s="57"/>
      <c r="AS180" s="57"/>
      <c r="AT180" s="57"/>
      <c r="AU180" s="45"/>
      <c r="AV180" s="65"/>
      <c r="AW180" s="56"/>
      <c r="AX180" s="55"/>
      <c r="AY180" s="55"/>
      <c r="AZ180" s="55"/>
      <c r="BA180" s="55"/>
      <c r="BB180" s="55"/>
      <c r="BC180" s="55"/>
      <c r="BD180" s="45"/>
      <c r="BE180" s="65"/>
      <c r="BF180" s="55"/>
      <c r="BG180" s="55"/>
      <c r="BH180" s="55"/>
      <c r="BI180" s="55"/>
      <c r="BJ180" s="55"/>
      <c r="BK180" s="55"/>
      <c r="BL180" s="55"/>
      <c r="BM180" s="55"/>
    </row>
    <row r="181" spans="1:65">
      <c r="A181" s="12" t="str">
        <f>Roster!A181</f>
        <v/>
      </c>
      <c r="B181" s="28">
        <f>Roster!C181</f>
        <v>0</v>
      </c>
      <c r="C181" s="55"/>
      <c r="D181" s="56"/>
      <c r="E181" s="57"/>
      <c r="F181" s="57"/>
      <c r="G181" s="57"/>
      <c r="H181" s="57"/>
      <c r="I181" s="57"/>
      <c r="J181" s="57"/>
      <c r="K181" s="45"/>
      <c r="L181" s="58"/>
      <c r="M181" s="56"/>
      <c r="N181" s="57"/>
      <c r="O181" s="57"/>
      <c r="P181" s="57"/>
      <c r="Q181" s="57"/>
      <c r="R181" s="57"/>
      <c r="S181" s="57"/>
      <c r="T181" s="45"/>
      <c r="U181" s="65"/>
      <c r="V181" s="56"/>
      <c r="W181" s="57"/>
      <c r="X181" s="57"/>
      <c r="Y181" s="57"/>
      <c r="Z181" s="57"/>
      <c r="AA181" s="57"/>
      <c r="AB181" s="57"/>
      <c r="AC181" s="45"/>
      <c r="AD181" s="65"/>
      <c r="AE181" s="56"/>
      <c r="AF181" s="57"/>
      <c r="AG181" s="57"/>
      <c r="AH181" s="57"/>
      <c r="AI181" s="57"/>
      <c r="AJ181" s="57"/>
      <c r="AK181" s="57"/>
      <c r="AL181" s="45"/>
      <c r="AM181" s="65"/>
      <c r="AN181" s="56"/>
      <c r="AO181" s="57"/>
      <c r="AP181" s="57"/>
      <c r="AQ181" s="57"/>
      <c r="AR181" s="57"/>
      <c r="AS181" s="57"/>
      <c r="AT181" s="57"/>
      <c r="AU181" s="45"/>
      <c r="AV181" s="65"/>
      <c r="AW181" s="56"/>
      <c r="AX181" s="55"/>
      <c r="AY181" s="55"/>
      <c r="AZ181" s="55"/>
      <c r="BA181" s="55"/>
      <c r="BB181" s="55"/>
      <c r="BC181" s="55"/>
      <c r="BD181" s="45"/>
      <c r="BE181" s="65"/>
      <c r="BF181" s="55"/>
      <c r="BG181" s="55"/>
      <c r="BH181" s="55"/>
      <c r="BI181" s="55"/>
      <c r="BJ181" s="55"/>
      <c r="BK181" s="55"/>
      <c r="BL181" s="55"/>
      <c r="BM181" s="55"/>
    </row>
    <row r="182" spans="1:65">
      <c r="A182" s="12" t="str">
        <f>Roster!A182</f>
        <v/>
      </c>
      <c r="B182" s="28">
        <f>Roster!C182</f>
        <v>0</v>
      </c>
      <c r="C182" s="55"/>
      <c r="D182" s="56"/>
      <c r="E182" s="57"/>
      <c r="F182" s="57"/>
      <c r="G182" s="57"/>
      <c r="H182" s="57"/>
      <c r="I182" s="57"/>
      <c r="J182" s="57"/>
      <c r="K182" s="45"/>
      <c r="L182" s="58"/>
      <c r="M182" s="56"/>
      <c r="N182" s="57"/>
      <c r="O182" s="57"/>
      <c r="P182" s="57"/>
      <c r="Q182" s="57"/>
      <c r="R182" s="57"/>
      <c r="S182" s="57"/>
      <c r="T182" s="45"/>
      <c r="U182" s="65"/>
      <c r="V182" s="56"/>
      <c r="W182" s="57"/>
      <c r="X182" s="57"/>
      <c r="Y182" s="57"/>
      <c r="Z182" s="57"/>
      <c r="AA182" s="57"/>
      <c r="AB182" s="57"/>
      <c r="AC182" s="45"/>
      <c r="AD182" s="65"/>
      <c r="AE182" s="56"/>
      <c r="AF182" s="57"/>
      <c r="AG182" s="57"/>
      <c r="AH182" s="57"/>
      <c r="AI182" s="57"/>
      <c r="AJ182" s="57"/>
      <c r="AK182" s="57"/>
      <c r="AL182" s="45"/>
      <c r="AM182" s="65"/>
      <c r="AN182" s="56"/>
      <c r="AO182" s="57"/>
      <c r="AP182" s="57"/>
      <c r="AQ182" s="57"/>
      <c r="AR182" s="57"/>
      <c r="AS182" s="57"/>
      <c r="AT182" s="57"/>
      <c r="AU182" s="45"/>
      <c r="AV182" s="65"/>
      <c r="AW182" s="56"/>
      <c r="AX182" s="55"/>
      <c r="AY182" s="55"/>
      <c r="AZ182" s="55"/>
      <c r="BA182" s="55"/>
      <c r="BB182" s="55"/>
      <c r="BC182" s="55"/>
      <c r="BD182" s="45"/>
      <c r="BE182" s="65"/>
      <c r="BF182" s="55"/>
      <c r="BG182" s="55"/>
      <c r="BH182" s="55"/>
      <c r="BI182" s="55"/>
      <c r="BJ182" s="55"/>
      <c r="BK182" s="55"/>
      <c r="BL182" s="55"/>
      <c r="BM182" s="55"/>
    </row>
    <row r="183" spans="1:65">
      <c r="A183" s="12" t="str">
        <f>Roster!A183</f>
        <v/>
      </c>
      <c r="B183" s="28">
        <f>Roster!C183</f>
        <v>0</v>
      </c>
      <c r="C183" s="55"/>
      <c r="D183" s="56"/>
      <c r="E183" s="57"/>
      <c r="F183" s="57"/>
      <c r="G183" s="57"/>
      <c r="H183" s="57"/>
      <c r="I183" s="57"/>
      <c r="J183" s="57"/>
      <c r="K183" s="45"/>
      <c r="L183" s="58"/>
      <c r="M183" s="56"/>
      <c r="N183" s="57"/>
      <c r="O183" s="57"/>
      <c r="P183" s="57"/>
      <c r="Q183" s="57"/>
      <c r="R183" s="57"/>
      <c r="S183" s="57"/>
      <c r="T183" s="45"/>
      <c r="U183" s="65"/>
      <c r="V183" s="56"/>
      <c r="W183" s="57"/>
      <c r="X183" s="57"/>
      <c r="Y183" s="57"/>
      <c r="Z183" s="57"/>
      <c r="AA183" s="57"/>
      <c r="AB183" s="57"/>
      <c r="AC183" s="45"/>
      <c r="AD183" s="65"/>
      <c r="AE183" s="56"/>
      <c r="AF183" s="57"/>
      <c r="AG183" s="57"/>
      <c r="AH183" s="57"/>
      <c r="AI183" s="57"/>
      <c r="AJ183" s="57"/>
      <c r="AK183" s="57"/>
      <c r="AL183" s="45"/>
      <c r="AM183" s="65"/>
      <c r="AN183" s="56"/>
      <c r="AO183" s="57"/>
      <c r="AP183" s="57"/>
      <c r="AQ183" s="57"/>
      <c r="AR183" s="57"/>
      <c r="AS183" s="57"/>
      <c r="AT183" s="57"/>
      <c r="AU183" s="45"/>
      <c r="AV183" s="65"/>
      <c r="AW183" s="56"/>
      <c r="AX183" s="55"/>
      <c r="AY183" s="55"/>
      <c r="AZ183" s="55"/>
      <c r="BA183" s="55"/>
      <c r="BB183" s="55"/>
      <c r="BC183" s="55"/>
      <c r="BD183" s="45"/>
      <c r="BE183" s="65"/>
      <c r="BF183" s="55"/>
      <c r="BG183" s="55"/>
      <c r="BH183" s="55"/>
      <c r="BI183" s="55"/>
      <c r="BJ183" s="55"/>
      <c r="BK183" s="55"/>
      <c r="BL183" s="55"/>
      <c r="BM183" s="55"/>
    </row>
    <row r="184" spans="1:65">
      <c r="A184" s="12" t="str">
        <f>Roster!A184</f>
        <v/>
      </c>
      <c r="B184" s="28">
        <f>Roster!C184</f>
        <v>0</v>
      </c>
      <c r="C184" s="55"/>
      <c r="D184" s="56"/>
      <c r="E184" s="57"/>
      <c r="F184" s="57"/>
      <c r="G184" s="57"/>
      <c r="H184" s="57"/>
      <c r="I184" s="57"/>
      <c r="J184" s="57"/>
      <c r="K184" s="45"/>
      <c r="L184" s="58"/>
      <c r="M184" s="56"/>
      <c r="N184" s="57"/>
      <c r="O184" s="57"/>
      <c r="P184" s="57"/>
      <c r="Q184" s="57"/>
      <c r="R184" s="57"/>
      <c r="S184" s="57"/>
      <c r="T184" s="45"/>
      <c r="U184" s="65"/>
      <c r="V184" s="56"/>
      <c r="W184" s="57"/>
      <c r="X184" s="57"/>
      <c r="Y184" s="57"/>
      <c r="Z184" s="57"/>
      <c r="AA184" s="57"/>
      <c r="AB184" s="57"/>
      <c r="AC184" s="45"/>
      <c r="AD184" s="65"/>
      <c r="AE184" s="56"/>
      <c r="AF184" s="57"/>
      <c r="AG184" s="57"/>
      <c r="AH184" s="57"/>
      <c r="AI184" s="57"/>
      <c r="AJ184" s="57"/>
      <c r="AK184" s="57"/>
      <c r="AL184" s="45"/>
      <c r="AM184" s="65"/>
      <c r="AN184" s="56"/>
      <c r="AO184" s="57"/>
      <c r="AP184" s="57"/>
      <c r="AQ184" s="57"/>
      <c r="AR184" s="57"/>
      <c r="AS184" s="57"/>
      <c r="AT184" s="57"/>
      <c r="AU184" s="45"/>
      <c r="AV184" s="65"/>
      <c r="AW184" s="56"/>
      <c r="AX184" s="55"/>
      <c r="AY184" s="55"/>
      <c r="AZ184" s="55"/>
      <c r="BA184" s="55"/>
      <c r="BB184" s="55"/>
      <c r="BC184" s="55"/>
      <c r="BD184" s="45"/>
      <c r="BE184" s="65"/>
      <c r="BF184" s="55"/>
      <c r="BG184" s="55"/>
      <c r="BH184" s="55"/>
      <c r="BI184" s="55"/>
      <c r="BJ184" s="55"/>
      <c r="BK184" s="55"/>
      <c r="BL184" s="55"/>
      <c r="BM184" s="55"/>
    </row>
    <row r="185" spans="1:65">
      <c r="A185" s="12" t="str">
        <f>Roster!A185</f>
        <v/>
      </c>
      <c r="B185" s="28">
        <f>Roster!C185</f>
        <v>0</v>
      </c>
      <c r="C185" s="55"/>
      <c r="D185" s="56"/>
      <c r="E185" s="57"/>
      <c r="F185" s="57"/>
      <c r="G185" s="57"/>
      <c r="H185" s="57"/>
      <c r="I185" s="57"/>
      <c r="J185" s="57"/>
      <c r="K185" s="45"/>
      <c r="L185" s="58"/>
      <c r="M185" s="56"/>
      <c r="N185" s="57"/>
      <c r="O185" s="57"/>
      <c r="P185" s="57"/>
      <c r="Q185" s="57"/>
      <c r="R185" s="57"/>
      <c r="S185" s="57"/>
      <c r="T185" s="45"/>
      <c r="U185" s="65"/>
      <c r="V185" s="56"/>
      <c r="W185" s="57"/>
      <c r="X185" s="57"/>
      <c r="Y185" s="57"/>
      <c r="Z185" s="57"/>
      <c r="AA185" s="57"/>
      <c r="AB185" s="57"/>
      <c r="AC185" s="45"/>
      <c r="AD185" s="65"/>
      <c r="AE185" s="56"/>
      <c r="AF185" s="57"/>
      <c r="AG185" s="57"/>
      <c r="AH185" s="57"/>
      <c r="AI185" s="57"/>
      <c r="AJ185" s="57"/>
      <c r="AK185" s="57"/>
      <c r="AL185" s="45"/>
      <c r="AM185" s="65"/>
      <c r="AN185" s="56"/>
      <c r="AO185" s="57"/>
      <c r="AP185" s="57"/>
      <c r="AQ185" s="57"/>
      <c r="AR185" s="57"/>
      <c r="AS185" s="57"/>
      <c r="AT185" s="57"/>
      <c r="AU185" s="45"/>
      <c r="AV185" s="65"/>
      <c r="AW185" s="56"/>
      <c r="AX185" s="55"/>
      <c r="AY185" s="55"/>
      <c r="AZ185" s="55"/>
      <c r="BA185" s="55"/>
      <c r="BB185" s="55"/>
      <c r="BC185" s="55"/>
      <c r="BD185" s="45"/>
      <c r="BE185" s="65"/>
      <c r="BF185" s="55"/>
      <c r="BG185" s="55"/>
      <c r="BH185" s="55"/>
      <c r="BI185" s="55"/>
      <c r="BJ185" s="55"/>
      <c r="BK185" s="55"/>
      <c r="BL185" s="55"/>
      <c r="BM185" s="55"/>
    </row>
    <row r="186" spans="1:65">
      <c r="A186" s="12" t="str">
        <f>Roster!A186</f>
        <v/>
      </c>
      <c r="B186" s="28">
        <f>Roster!C186</f>
        <v>0</v>
      </c>
      <c r="C186" s="55"/>
      <c r="D186" s="56"/>
      <c r="E186" s="57"/>
      <c r="F186" s="57"/>
      <c r="G186" s="57"/>
      <c r="H186" s="57"/>
      <c r="I186" s="57"/>
      <c r="J186" s="57"/>
      <c r="K186" s="45"/>
      <c r="L186" s="58"/>
      <c r="M186" s="56"/>
      <c r="N186" s="57"/>
      <c r="O186" s="57"/>
      <c r="P186" s="57"/>
      <c r="Q186" s="57"/>
      <c r="R186" s="57"/>
      <c r="S186" s="57"/>
      <c r="T186" s="45"/>
      <c r="U186" s="65"/>
      <c r="V186" s="56"/>
      <c r="W186" s="57"/>
      <c r="X186" s="57"/>
      <c r="Y186" s="57"/>
      <c r="Z186" s="57"/>
      <c r="AA186" s="57"/>
      <c r="AB186" s="57"/>
      <c r="AC186" s="45"/>
      <c r="AD186" s="65"/>
      <c r="AE186" s="56"/>
      <c r="AF186" s="57"/>
      <c r="AG186" s="57"/>
      <c r="AH186" s="57"/>
      <c r="AI186" s="57"/>
      <c r="AJ186" s="57"/>
      <c r="AK186" s="57"/>
      <c r="AL186" s="45"/>
      <c r="AM186" s="65"/>
      <c r="AN186" s="56"/>
      <c r="AO186" s="57"/>
      <c r="AP186" s="57"/>
      <c r="AQ186" s="57"/>
      <c r="AR186" s="57"/>
      <c r="AS186" s="57"/>
      <c r="AT186" s="57"/>
      <c r="AU186" s="45"/>
      <c r="AV186" s="65"/>
      <c r="AW186" s="56"/>
      <c r="AX186" s="55"/>
      <c r="AY186" s="55"/>
      <c r="AZ186" s="55"/>
      <c r="BA186" s="55"/>
      <c r="BB186" s="55"/>
      <c r="BC186" s="55"/>
      <c r="BD186" s="45"/>
      <c r="BE186" s="65"/>
      <c r="BF186" s="55"/>
      <c r="BG186" s="55"/>
      <c r="BH186" s="55"/>
      <c r="BI186" s="55"/>
      <c r="BJ186" s="55"/>
      <c r="BK186" s="55"/>
      <c r="BL186" s="55"/>
      <c r="BM186" s="55"/>
    </row>
    <row r="187" spans="1:65">
      <c r="A187" s="12" t="str">
        <f>Roster!A187</f>
        <v/>
      </c>
      <c r="B187" s="28">
        <f>Roster!C187</f>
        <v>0</v>
      </c>
      <c r="C187" s="55"/>
      <c r="D187" s="56"/>
      <c r="E187" s="57"/>
      <c r="F187" s="57"/>
      <c r="G187" s="57"/>
      <c r="H187" s="57"/>
      <c r="I187" s="57"/>
      <c r="J187" s="57"/>
      <c r="K187" s="45"/>
      <c r="L187" s="58"/>
      <c r="M187" s="56"/>
      <c r="N187" s="57"/>
      <c r="O187" s="57"/>
      <c r="P187" s="57"/>
      <c r="Q187" s="57"/>
      <c r="R187" s="57"/>
      <c r="S187" s="57"/>
      <c r="T187" s="45"/>
      <c r="U187" s="65"/>
      <c r="V187" s="56"/>
      <c r="W187" s="57"/>
      <c r="X187" s="57"/>
      <c r="Y187" s="57"/>
      <c r="Z187" s="57"/>
      <c r="AA187" s="57"/>
      <c r="AB187" s="57"/>
      <c r="AC187" s="45"/>
      <c r="AD187" s="65"/>
      <c r="AE187" s="56"/>
      <c r="AF187" s="57"/>
      <c r="AG187" s="57"/>
      <c r="AH187" s="57"/>
      <c r="AI187" s="57"/>
      <c r="AJ187" s="57"/>
      <c r="AK187" s="57"/>
      <c r="AL187" s="45"/>
      <c r="AM187" s="65"/>
      <c r="AN187" s="56"/>
      <c r="AO187" s="57"/>
      <c r="AP187" s="57"/>
      <c r="AQ187" s="57"/>
      <c r="AR187" s="57"/>
      <c r="AS187" s="57"/>
      <c r="AT187" s="57"/>
      <c r="AU187" s="45"/>
      <c r="AV187" s="65"/>
      <c r="AW187" s="56"/>
      <c r="AX187" s="55"/>
      <c r="AY187" s="55"/>
      <c r="AZ187" s="55"/>
      <c r="BA187" s="55"/>
      <c r="BB187" s="55"/>
      <c r="BC187" s="55"/>
      <c r="BD187" s="45"/>
      <c r="BE187" s="65"/>
      <c r="BF187" s="55"/>
      <c r="BG187" s="55"/>
      <c r="BH187" s="55"/>
      <c r="BI187" s="55"/>
      <c r="BJ187" s="55"/>
      <c r="BK187" s="55"/>
      <c r="BL187" s="55"/>
      <c r="BM187" s="55"/>
    </row>
    <row r="188" spans="1:65">
      <c r="A188" s="12" t="str">
        <f>Roster!A188</f>
        <v/>
      </c>
      <c r="B188" s="28">
        <f>Roster!C188</f>
        <v>0</v>
      </c>
      <c r="C188" s="55"/>
      <c r="D188" s="56"/>
      <c r="E188" s="57"/>
      <c r="F188" s="57"/>
      <c r="G188" s="57"/>
      <c r="H188" s="57"/>
      <c r="I188" s="57"/>
      <c r="J188" s="57"/>
      <c r="K188" s="45"/>
      <c r="L188" s="58"/>
      <c r="M188" s="56"/>
      <c r="N188" s="57"/>
      <c r="O188" s="57"/>
      <c r="P188" s="57"/>
      <c r="Q188" s="57"/>
      <c r="R188" s="57"/>
      <c r="S188" s="57"/>
      <c r="T188" s="45"/>
      <c r="U188" s="65"/>
      <c r="V188" s="56"/>
      <c r="W188" s="57"/>
      <c r="X188" s="57"/>
      <c r="Y188" s="57"/>
      <c r="Z188" s="57"/>
      <c r="AA188" s="57"/>
      <c r="AB188" s="57"/>
      <c r="AC188" s="45"/>
      <c r="AD188" s="65"/>
      <c r="AE188" s="56"/>
      <c r="AF188" s="57"/>
      <c r="AG188" s="57"/>
      <c r="AH188" s="57"/>
      <c r="AI188" s="57"/>
      <c r="AJ188" s="57"/>
      <c r="AK188" s="57"/>
      <c r="AL188" s="45"/>
      <c r="AM188" s="65"/>
      <c r="AN188" s="56"/>
      <c r="AO188" s="57"/>
      <c r="AP188" s="57"/>
      <c r="AQ188" s="57"/>
      <c r="AR188" s="57"/>
      <c r="AS188" s="57"/>
      <c r="AT188" s="57"/>
      <c r="AU188" s="45"/>
      <c r="AV188" s="65"/>
      <c r="AW188" s="56"/>
      <c r="AX188" s="55"/>
      <c r="AY188" s="55"/>
      <c r="AZ188" s="55"/>
      <c r="BA188" s="55"/>
      <c r="BB188" s="55"/>
      <c r="BC188" s="55"/>
      <c r="BD188" s="45"/>
      <c r="BE188" s="65"/>
      <c r="BF188" s="55"/>
      <c r="BG188" s="55"/>
      <c r="BH188" s="55"/>
      <c r="BI188" s="55"/>
      <c r="BJ188" s="55"/>
      <c r="BK188" s="55"/>
      <c r="BL188" s="55"/>
      <c r="BM188" s="55"/>
    </row>
    <row r="189" spans="1:65">
      <c r="A189" s="12" t="str">
        <f>Roster!A189</f>
        <v/>
      </c>
      <c r="B189" s="28">
        <f>Roster!C189</f>
        <v>0</v>
      </c>
      <c r="C189" s="55"/>
      <c r="D189" s="56"/>
      <c r="E189" s="57"/>
      <c r="F189" s="57"/>
      <c r="G189" s="57"/>
      <c r="H189" s="57"/>
      <c r="I189" s="57"/>
      <c r="J189" s="57"/>
      <c r="K189" s="45"/>
      <c r="L189" s="58"/>
      <c r="M189" s="56"/>
      <c r="N189" s="57"/>
      <c r="O189" s="57"/>
      <c r="P189" s="57"/>
      <c r="Q189" s="57"/>
      <c r="R189" s="57"/>
      <c r="S189" s="57"/>
      <c r="T189" s="45"/>
      <c r="U189" s="65"/>
      <c r="V189" s="56"/>
      <c r="W189" s="57"/>
      <c r="X189" s="57"/>
      <c r="Y189" s="57"/>
      <c r="Z189" s="57"/>
      <c r="AA189" s="57"/>
      <c r="AB189" s="57"/>
      <c r="AC189" s="45"/>
      <c r="AD189" s="65"/>
      <c r="AE189" s="56"/>
      <c r="AF189" s="57"/>
      <c r="AG189" s="57"/>
      <c r="AH189" s="57"/>
      <c r="AI189" s="57"/>
      <c r="AJ189" s="57"/>
      <c r="AK189" s="57"/>
      <c r="AL189" s="45"/>
      <c r="AM189" s="65"/>
      <c r="AN189" s="56"/>
      <c r="AO189" s="57"/>
      <c r="AP189" s="57"/>
      <c r="AQ189" s="57"/>
      <c r="AR189" s="57"/>
      <c r="AS189" s="57"/>
      <c r="AT189" s="57"/>
      <c r="AU189" s="45"/>
      <c r="AV189" s="65"/>
      <c r="AW189" s="56"/>
      <c r="AX189" s="55"/>
      <c r="AY189" s="55"/>
      <c r="AZ189" s="55"/>
      <c r="BA189" s="55"/>
      <c r="BB189" s="55"/>
      <c r="BC189" s="55"/>
      <c r="BD189" s="45"/>
      <c r="BE189" s="65"/>
      <c r="BF189" s="55"/>
      <c r="BG189" s="55"/>
      <c r="BH189" s="55"/>
      <c r="BI189" s="55"/>
      <c r="BJ189" s="55"/>
      <c r="BK189" s="55"/>
      <c r="BL189" s="55"/>
      <c r="BM189" s="55"/>
    </row>
    <row r="190" spans="1:65">
      <c r="A190" s="12" t="str">
        <f>Roster!A190</f>
        <v/>
      </c>
      <c r="B190" s="28">
        <f>Roster!C190</f>
        <v>0</v>
      </c>
      <c r="C190" s="55"/>
      <c r="D190" s="56"/>
      <c r="E190" s="57"/>
      <c r="F190" s="57"/>
      <c r="G190" s="57"/>
      <c r="H190" s="57"/>
      <c r="I190" s="57"/>
      <c r="J190" s="57"/>
      <c r="K190" s="45"/>
      <c r="L190" s="58"/>
      <c r="M190" s="56"/>
      <c r="N190" s="57"/>
      <c r="O190" s="57"/>
      <c r="P190" s="57"/>
      <c r="Q190" s="57"/>
      <c r="R190" s="57"/>
      <c r="S190" s="57"/>
      <c r="T190" s="45"/>
      <c r="U190" s="65"/>
      <c r="V190" s="56"/>
      <c r="W190" s="57"/>
      <c r="X190" s="57"/>
      <c r="Y190" s="57"/>
      <c r="Z190" s="57"/>
      <c r="AA190" s="57"/>
      <c r="AB190" s="57"/>
      <c r="AC190" s="45"/>
      <c r="AD190" s="65"/>
      <c r="AE190" s="56"/>
      <c r="AF190" s="57"/>
      <c r="AG190" s="57"/>
      <c r="AH190" s="57"/>
      <c r="AI190" s="57"/>
      <c r="AJ190" s="57"/>
      <c r="AK190" s="57"/>
      <c r="AL190" s="45"/>
      <c r="AM190" s="65"/>
      <c r="AN190" s="56"/>
      <c r="AO190" s="57"/>
      <c r="AP190" s="57"/>
      <c r="AQ190" s="57"/>
      <c r="AR190" s="57"/>
      <c r="AS190" s="57"/>
      <c r="AT190" s="57"/>
      <c r="AU190" s="45"/>
      <c r="AV190" s="65"/>
      <c r="AW190" s="56"/>
      <c r="AX190" s="55"/>
      <c r="AY190" s="55"/>
      <c r="AZ190" s="55"/>
      <c r="BA190" s="55"/>
      <c r="BB190" s="55"/>
      <c r="BC190" s="55"/>
      <c r="BD190" s="45"/>
      <c r="BE190" s="65"/>
      <c r="BF190" s="55"/>
      <c r="BG190" s="55"/>
      <c r="BH190" s="55"/>
      <c r="BI190" s="55"/>
      <c r="BJ190" s="55"/>
      <c r="BK190" s="55"/>
      <c r="BL190" s="55"/>
      <c r="BM190" s="55"/>
    </row>
    <row r="191" spans="1:65">
      <c r="A191" s="12" t="str">
        <f>Roster!A191</f>
        <v/>
      </c>
      <c r="B191" s="28">
        <f>Roster!C191</f>
        <v>0</v>
      </c>
      <c r="C191" s="55"/>
      <c r="D191" s="56"/>
      <c r="E191" s="57"/>
      <c r="F191" s="57"/>
      <c r="G191" s="57"/>
      <c r="H191" s="57"/>
      <c r="I191" s="57"/>
      <c r="J191" s="57"/>
      <c r="K191" s="45"/>
      <c r="L191" s="58"/>
      <c r="M191" s="56"/>
      <c r="N191" s="57"/>
      <c r="O191" s="57"/>
      <c r="P191" s="57"/>
      <c r="Q191" s="57"/>
      <c r="R191" s="57"/>
      <c r="S191" s="57"/>
      <c r="T191" s="45"/>
      <c r="U191" s="65"/>
      <c r="V191" s="56"/>
      <c r="W191" s="57"/>
      <c r="X191" s="57"/>
      <c r="Y191" s="57"/>
      <c r="Z191" s="57"/>
      <c r="AA191" s="57"/>
      <c r="AB191" s="57"/>
      <c r="AC191" s="45"/>
      <c r="AD191" s="65"/>
      <c r="AE191" s="56"/>
      <c r="AF191" s="57"/>
      <c r="AG191" s="57"/>
      <c r="AH191" s="57"/>
      <c r="AI191" s="57"/>
      <c r="AJ191" s="57"/>
      <c r="AK191" s="57"/>
      <c r="AL191" s="45"/>
      <c r="AM191" s="65"/>
      <c r="AN191" s="56"/>
      <c r="AO191" s="57"/>
      <c r="AP191" s="57"/>
      <c r="AQ191" s="57"/>
      <c r="AR191" s="57"/>
      <c r="AS191" s="57"/>
      <c r="AT191" s="57"/>
      <c r="AU191" s="45"/>
      <c r="AV191" s="65"/>
      <c r="AW191" s="56"/>
      <c r="AX191" s="55"/>
      <c r="AY191" s="55"/>
      <c r="AZ191" s="55"/>
      <c r="BA191" s="55"/>
      <c r="BB191" s="55"/>
      <c r="BC191" s="55"/>
      <c r="BD191" s="45"/>
      <c r="BE191" s="65"/>
      <c r="BF191" s="55"/>
      <c r="BG191" s="55"/>
      <c r="BH191" s="55"/>
      <c r="BI191" s="55"/>
      <c r="BJ191" s="55"/>
      <c r="BK191" s="55"/>
      <c r="BL191" s="55"/>
      <c r="BM191" s="55"/>
    </row>
    <row r="192" spans="1:65">
      <c r="A192" s="12" t="str">
        <f>Roster!A192</f>
        <v/>
      </c>
      <c r="B192" s="28">
        <f>Roster!C192</f>
        <v>0</v>
      </c>
      <c r="C192" s="55"/>
      <c r="D192" s="56"/>
      <c r="E192" s="57"/>
      <c r="F192" s="57"/>
      <c r="G192" s="57"/>
      <c r="H192" s="57"/>
      <c r="I192" s="57"/>
      <c r="J192" s="57"/>
      <c r="K192" s="45"/>
      <c r="L192" s="58"/>
      <c r="M192" s="56"/>
      <c r="N192" s="57"/>
      <c r="O192" s="57"/>
      <c r="P192" s="57"/>
      <c r="Q192" s="57"/>
      <c r="R192" s="57"/>
      <c r="S192" s="57"/>
      <c r="T192" s="45"/>
      <c r="U192" s="65"/>
      <c r="V192" s="56"/>
      <c r="W192" s="57"/>
      <c r="X192" s="57"/>
      <c r="Y192" s="57"/>
      <c r="Z192" s="57"/>
      <c r="AA192" s="57"/>
      <c r="AB192" s="57"/>
      <c r="AC192" s="45"/>
      <c r="AD192" s="65"/>
      <c r="AE192" s="56"/>
      <c r="AF192" s="57"/>
      <c r="AG192" s="57"/>
      <c r="AH192" s="57"/>
      <c r="AI192" s="57"/>
      <c r="AJ192" s="57"/>
      <c r="AK192" s="57"/>
      <c r="AL192" s="45"/>
      <c r="AM192" s="65"/>
      <c r="AN192" s="56"/>
      <c r="AO192" s="57"/>
      <c r="AP192" s="57"/>
      <c r="AQ192" s="57"/>
      <c r="AR192" s="57"/>
      <c r="AS192" s="57"/>
      <c r="AT192" s="57"/>
      <c r="AU192" s="45"/>
      <c r="AV192" s="65"/>
      <c r="AW192" s="56"/>
      <c r="AX192" s="55"/>
      <c r="AY192" s="55"/>
      <c r="AZ192" s="55"/>
      <c r="BA192" s="55"/>
      <c r="BB192" s="55"/>
      <c r="BC192" s="55"/>
      <c r="BD192" s="45"/>
      <c r="BE192" s="65"/>
      <c r="BF192" s="55"/>
      <c r="BG192" s="55"/>
      <c r="BH192" s="55"/>
      <c r="BI192" s="55"/>
      <c r="BJ192" s="55"/>
      <c r="BK192" s="55"/>
      <c r="BL192" s="55"/>
      <c r="BM192" s="55"/>
    </row>
    <row r="193" spans="1:65">
      <c r="A193" s="12" t="str">
        <f>Roster!A193</f>
        <v/>
      </c>
      <c r="B193" s="28">
        <f>Roster!C193</f>
        <v>0</v>
      </c>
      <c r="C193" s="55"/>
      <c r="D193" s="56"/>
      <c r="E193" s="57"/>
      <c r="F193" s="57"/>
      <c r="G193" s="57"/>
      <c r="H193" s="57"/>
      <c r="I193" s="57"/>
      <c r="J193" s="57"/>
      <c r="K193" s="45"/>
      <c r="L193" s="58"/>
      <c r="M193" s="56"/>
      <c r="N193" s="57"/>
      <c r="O193" s="57"/>
      <c r="P193" s="57"/>
      <c r="Q193" s="57"/>
      <c r="R193" s="57"/>
      <c r="S193" s="57"/>
      <c r="T193" s="45"/>
      <c r="U193" s="65"/>
      <c r="V193" s="56"/>
      <c r="W193" s="57"/>
      <c r="X193" s="57"/>
      <c r="Y193" s="57"/>
      <c r="Z193" s="57"/>
      <c r="AA193" s="57"/>
      <c r="AB193" s="57"/>
      <c r="AC193" s="45"/>
      <c r="AD193" s="65"/>
      <c r="AE193" s="56"/>
      <c r="AF193" s="57"/>
      <c r="AG193" s="57"/>
      <c r="AH193" s="57"/>
      <c r="AI193" s="57"/>
      <c r="AJ193" s="57"/>
      <c r="AK193" s="57"/>
      <c r="AL193" s="45"/>
      <c r="AM193" s="65"/>
      <c r="AN193" s="56"/>
      <c r="AO193" s="57"/>
      <c r="AP193" s="57"/>
      <c r="AQ193" s="57"/>
      <c r="AR193" s="57"/>
      <c r="AS193" s="57"/>
      <c r="AT193" s="57"/>
      <c r="AU193" s="45"/>
      <c r="AV193" s="65"/>
      <c r="AW193" s="56"/>
      <c r="AX193" s="55"/>
      <c r="AY193" s="55"/>
      <c r="AZ193" s="55"/>
      <c r="BA193" s="55"/>
      <c r="BB193" s="55"/>
      <c r="BC193" s="55"/>
      <c r="BD193" s="45"/>
      <c r="BE193" s="65"/>
      <c r="BF193" s="55"/>
      <c r="BG193" s="55"/>
      <c r="BH193" s="55"/>
      <c r="BI193" s="55"/>
      <c r="BJ193" s="55"/>
      <c r="BK193" s="55"/>
      <c r="BL193" s="55"/>
      <c r="BM193" s="55"/>
    </row>
    <row r="194" spans="1:65">
      <c r="A194" s="12" t="str">
        <f>Roster!A194</f>
        <v/>
      </c>
      <c r="B194" s="28">
        <f>Roster!C194</f>
        <v>0</v>
      </c>
      <c r="C194" s="55"/>
      <c r="D194" s="56"/>
      <c r="E194" s="57"/>
      <c r="F194" s="57"/>
      <c r="G194" s="57"/>
      <c r="H194" s="57"/>
      <c r="I194" s="57"/>
      <c r="J194" s="57"/>
      <c r="K194" s="45"/>
      <c r="L194" s="58"/>
      <c r="M194" s="56"/>
      <c r="N194" s="57"/>
      <c r="O194" s="57"/>
      <c r="P194" s="57"/>
      <c r="Q194" s="57"/>
      <c r="R194" s="57"/>
      <c r="S194" s="57"/>
      <c r="T194" s="45"/>
      <c r="U194" s="65"/>
      <c r="V194" s="56"/>
      <c r="W194" s="57"/>
      <c r="X194" s="57"/>
      <c r="Y194" s="57"/>
      <c r="Z194" s="57"/>
      <c r="AA194" s="57"/>
      <c r="AB194" s="57"/>
      <c r="AC194" s="45"/>
      <c r="AD194" s="65"/>
      <c r="AE194" s="56"/>
      <c r="AF194" s="57"/>
      <c r="AG194" s="57"/>
      <c r="AH194" s="57"/>
      <c r="AI194" s="57"/>
      <c r="AJ194" s="57"/>
      <c r="AK194" s="57"/>
      <c r="AL194" s="45"/>
      <c r="AM194" s="65"/>
      <c r="AN194" s="56"/>
      <c r="AO194" s="57"/>
      <c r="AP194" s="57"/>
      <c r="AQ194" s="57"/>
      <c r="AR194" s="57"/>
      <c r="AS194" s="57"/>
      <c r="AT194" s="57"/>
      <c r="AU194" s="45"/>
      <c r="AV194" s="65"/>
      <c r="AW194" s="56"/>
      <c r="AX194" s="55"/>
      <c r="AY194" s="55"/>
      <c r="AZ194" s="55"/>
      <c r="BA194" s="55"/>
      <c r="BB194" s="55"/>
      <c r="BC194" s="55"/>
      <c r="BD194" s="45"/>
      <c r="BE194" s="65"/>
      <c r="BF194" s="55"/>
      <c r="BG194" s="55"/>
      <c r="BH194" s="55"/>
      <c r="BI194" s="55"/>
      <c r="BJ194" s="55"/>
      <c r="BK194" s="55"/>
      <c r="BL194" s="55"/>
      <c r="BM194" s="55"/>
    </row>
    <row r="195" spans="1:65">
      <c r="A195" s="12" t="str">
        <f>Roster!A195</f>
        <v/>
      </c>
      <c r="B195" s="28">
        <f>Roster!C195</f>
        <v>0</v>
      </c>
      <c r="C195" s="55"/>
      <c r="D195" s="56"/>
      <c r="E195" s="57"/>
      <c r="F195" s="57"/>
      <c r="G195" s="57"/>
      <c r="H195" s="57"/>
      <c r="I195" s="57"/>
      <c r="J195" s="57"/>
      <c r="K195" s="45"/>
      <c r="L195" s="58"/>
      <c r="M195" s="56"/>
      <c r="N195" s="57"/>
      <c r="O195" s="57"/>
      <c r="P195" s="57"/>
      <c r="Q195" s="57"/>
      <c r="R195" s="57"/>
      <c r="S195" s="57"/>
      <c r="T195" s="45"/>
      <c r="U195" s="65"/>
      <c r="V195" s="56"/>
      <c r="W195" s="57"/>
      <c r="X195" s="57"/>
      <c r="Y195" s="57"/>
      <c r="Z195" s="57"/>
      <c r="AA195" s="57"/>
      <c r="AB195" s="57"/>
      <c r="AC195" s="45"/>
      <c r="AD195" s="65"/>
      <c r="AE195" s="56"/>
      <c r="AF195" s="57"/>
      <c r="AG195" s="57"/>
      <c r="AH195" s="57"/>
      <c r="AI195" s="57"/>
      <c r="AJ195" s="57"/>
      <c r="AK195" s="57"/>
      <c r="AL195" s="45"/>
      <c r="AM195" s="65"/>
      <c r="AN195" s="56"/>
      <c r="AO195" s="57"/>
      <c r="AP195" s="57"/>
      <c r="AQ195" s="57"/>
      <c r="AR195" s="57"/>
      <c r="AS195" s="57"/>
      <c r="AT195" s="57"/>
      <c r="AU195" s="45"/>
      <c r="AV195" s="65"/>
      <c r="AW195" s="56"/>
      <c r="AX195" s="55"/>
      <c r="AY195" s="55"/>
      <c r="AZ195" s="55"/>
      <c r="BA195" s="55"/>
      <c r="BB195" s="55"/>
      <c r="BC195" s="55"/>
      <c r="BD195" s="45"/>
      <c r="BE195" s="65"/>
      <c r="BF195" s="55"/>
      <c r="BG195" s="55"/>
      <c r="BH195" s="55"/>
      <c r="BI195" s="55"/>
      <c r="BJ195" s="55"/>
      <c r="BK195" s="55"/>
      <c r="BL195" s="55"/>
      <c r="BM195" s="55"/>
    </row>
    <row r="196" spans="1:65">
      <c r="A196" s="12" t="str">
        <f>Roster!A196</f>
        <v/>
      </c>
      <c r="B196" s="28">
        <f>Roster!C196</f>
        <v>0</v>
      </c>
      <c r="C196" s="55"/>
      <c r="D196" s="56"/>
      <c r="E196" s="57"/>
      <c r="F196" s="57"/>
      <c r="G196" s="57"/>
      <c r="H196" s="57"/>
      <c r="I196" s="57"/>
      <c r="J196" s="57"/>
      <c r="K196" s="45"/>
      <c r="L196" s="58"/>
      <c r="M196" s="56"/>
      <c r="N196" s="57"/>
      <c r="O196" s="57"/>
      <c r="P196" s="57"/>
      <c r="Q196" s="57"/>
      <c r="R196" s="57"/>
      <c r="S196" s="57"/>
      <c r="T196" s="45"/>
      <c r="U196" s="65"/>
      <c r="V196" s="56"/>
      <c r="W196" s="57"/>
      <c r="X196" s="57"/>
      <c r="Y196" s="57"/>
      <c r="Z196" s="57"/>
      <c r="AA196" s="57"/>
      <c r="AB196" s="57"/>
      <c r="AC196" s="45"/>
      <c r="AD196" s="65"/>
      <c r="AE196" s="56"/>
      <c r="AF196" s="57"/>
      <c r="AG196" s="57"/>
      <c r="AH196" s="57"/>
      <c r="AI196" s="57"/>
      <c r="AJ196" s="57"/>
      <c r="AK196" s="57"/>
      <c r="AL196" s="45"/>
      <c r="AM196" s="65"/>
      <c r="AN196" s="56"/>
      <c r="AO196" s="57"/>
      <c r="AP196" s="57"/>
      <c r="AQ196" s="57"/>
      <c r="AR196" s="57"/>
      <c r="AS196" s="57"/>
      <c r="AT196" s="57"/>
      <c r="AU196" s="45"/>
      <c r="AV196" s="65"/>
      <c r="AW196" s="56"/>
      <c r="AX196" s="55"/>
      <c r="AY196" s="55"/>
      <c r="AZ196" s="55"/>
      <c r="BA196" s="55"/>
      <c r="BB196" s="55"/>
      <c r="BC196" s="55"/>
      <c r="BD196" s="45"/>
      <c r="BE196" s="65"/>
      <c r="BF196" s="55"/>
      <c r="BG196" s="55"/>
      <c r="BH196" s="55"/>
      <c r="BI196" s="55"/>
      <c r="BJ196" s="55"/>
      <c r="BK196" s="55"/>
      <c r="BL196" s="55"/>
      <c r="BM196" s="55"/>
    </row>
    <row r="197" spans="1:65">
      <c r="A197" s="12" t="str">
        <f>Roster!A197</f>
        <v/>
      </c>
      <c r="B197" s="28">
        <f>Roster!C197</f>
        <v>0</v>
      </c>
      <c r="C197" s="55"/>
      <c r="D197" s="56"/>
      <c r="E197" s="57"/>
      <c r="F197" s="57"/>
      <c r="G197" s="57"/>
      <c r="H197" s="57"/>
      <c r="I197" s="57"/>
      <c r="J197" s="57"/>
      <c r="K197" s="45"/>
      <c r="L197" s="58"/>
      <c r="M197" s="56"/>
      <c r="N197" s="57"/>
      <c r="O197" s="57"/>
      <c r="P197" s="57"/>
      <c r="Q197" s="57"/>
      <c r="R197" s="57"/>
      <c r="S197" s="57"/>
      <c r="T197" s="45"/>
      <c r="U197" s="65"/>
      <c r="V197" s="56"/>
      <c r="W197" s="57"/>
      <c r="X197" s="57"/>
      <c r="Y197" s="57"/>
      <c r="Z197" s="57"/>
      <c r="AA197" s="57"/>
      <c r="AB197" s="57"/>
      <c r="AC197" s="45"/>
      <c r="AD197" s="65"/>
      <c r="AE197" s="56"/>
      <c r="AF197" s="57"/>
      <c r="AG197" s="57"/>
      <c r="AH197" s="57"/>
      <c r="AI197" s="57"/>
      <c r="AJ197" s="57"/>
      <c r="AK197" s="57"/>
      <c r="AL197" s="45"/>
      <c r="AM197" s="65"/>
      <c r="AN197" s="56"/>
      <c r="AO197" s="57"/>
      <c r="AP197" s="57"/>
      <c r="AQ197" s="57"/>
      <c r="AR197" s="57"/>
      <c r="AS197" s="57"/>
      <c r="AT197" s="57"/>
      <c r="AU197" s="45"/>
      <c r="AV197" s="65"/>
      <c r="AW197" s="56"/>
      <c r="AX197" s="55"/>
      <c r="AY197" s="55"/>
      <c r="AZ197" s="55"/>
      <c r="BA197" s="55"/>
      <c r="BB197" s="55"/>
      <c r="BC197" s="55"/>
      <c r="BD197" s="45"/>
      <c r="BE197" s="65"/>
      <c r="BF197" s="55"/>
      <c r="BG197" s="55"/>
      <c r="BH197" s="55"/>
      <c r="BI197" s="55"/>
      <c r="BJ197" s="55"/>
      <c r="BK197" s="55"/>
      <c r="BL197" s="55"/>
      <c r="BM197" s="55"/>
    </row>
    <row r="198" spans="1:65">
      <c r="A198" s="12" t="str">
        <f>Roster!A198</f>
        <v/>
      </c>
      <c r="B198" s="28">
        <f>Roster!C198</f>
        <v>0</v>
      </c>
      <c r="C198" s="55"/>
      <c r="D198" s="56"/>
      <c r="E198" s="57"/>
      <c r="F198" s="57"/>
      <c r="G198" s="57"/>
      <c r="H198" s="57"/>
      <c r="I198" s="57"/>
      <c r="J198" s="57"/>
      <c r="K198" s="45"/>
      <c r="L198" s="58"/>
      <c r="M198" s="56"/>
      <c r="N198" s="57"/>
      <c r="O198" s="57"/>
      <c r="P198" s="57"/>
      <c r="Q198" s="57"/>
      <c r="R198" s="57"/>
      <c r="S198" s="57"/>
      <c r="T198" s="45"/>
      <c r="U198" s="65"/>
      <c r="V198" s="56"/>
      <c r="W198" s="57"/>
      <c r="X198" s="57"/>
      <c r="Y198" s="57"/>
      <c r="Z198" s="57"/>
      <c r="AA198" s="57"/>
      <c r="AB198" s="57"/>
      <c r="AC198" s="45"/>
      <c r="AD198" s="65"/>
      <c r="AE198" s="56"/>
      <c r="AF198" s="57"/>
      <c r="AG198" s="57"/>
      <c r="AH198" s="57"/>
      <c r="AI198" s="57"/>
      <c r="AJ198" s="57"/>
      <c r="AK198" s="57"/>
      <c r="AL198" s="45"/>
      <c r="AM198" s="65"/>
      <c r="AN198" s="56"/>
      <c r="AO198" s="57"/>
      <c r="AP198" s="57"/>
      <c r="AQ198" s="57"/>
      <c r="AR198" s="57"/>
      <c r="AS198" s="57"/>
      <c r="AT198" s="57"/>
      <c r="AU198" s="45"/>
      <c r="AV198" s="65"/>
      <c r="AW198" s="56"/>
      <c r="AX198" s="55"/>
      <c r="AY198" s="55"/>
      <c r="AZ198" s="55"/>
      <c r="BA198" s="55"/>
      <c r="BB198" s="55"/>
      <c r="BC198" s="55"/>
      <c r="BD198" s="45"/>
      <c r="BE198" s="65"/>
      <c r="BF198" s="55"/>
      <c r="BG198" s="55"/>
      <c r="BH198" s="55"/>
      <c r="BI198" s="55"/>
      <c r="BJ198" s="55"/>
      <c r="BK198" s="55"/>
      <c r="BL198" s="55"/>
      <c r="BM198" s="55"/>
    </row>
    <row r="199" spans="1:65">
      <c r="A199" s="12" t="str">
        <f>Roster!A199</f>
        <v/>
      </c>
      <c r="B199" s="28">
        <f>Roster!C199</f>
        <v>0</v>
      </c>
      <c r="C199" s="55"/>
      <c r="D199" s="56"/>
      <c r="E199" s="57"/>
      <c r="F199" s="57"/>
      <c r="G199" s="57"/>
      <c r="H199" s="57"/>
      <c r="I199" s="57"/>
      <c r="J199" s="57"/>
      <c r="K199" s="45"/>
      <c r="L199" s="58"/>
      <c r="M199" s="56"/>
      <c r="N199" s="57"/>
      <c r="O199" s="57"/>
      <c r="P199" s="57"/>
      <c r="Q199" s="57"/>
      <c r="R199" s="57"/>
      <c r="S199" s="57"/>
      <c r="T199" s="45"/>
      <c r="U199" s="65"/>
      <c r="V199" s="56"/>
      <c r="W199" s="57"/>
      <c r="X199" s="57"/>
      <c r="Y199" s="57"/>
      <c r="Z199" s="57"/>
      <c r="AA199" s="57"/>
      <c r="AB199" s="57"/>
      <c r="AC199" s="45"/>
      <c r="AD199" s="65"/>
      <c r="AE199" s="56"/>
      <c r="AF199" s="57"/>
      <c r="AG199" s="57"/>
      <c r="AH199" s="57"/>
      <c r="AI199" s="57"/>
      <c r="AJ199" s="57"/>
      <c r="AK199" s="57"/>
      <c r="AL199" s="45"/>
      <c r="AM199" s="65"/>
      <c r="AN199" s="56"/>
      <c r="AO199" s="57"/>
      <c r="AP199" s="57"/>
      <c r="AQ199" s="57"/>
      <c r="AR199" s="57"/>
      <c r="AS199" s="57"/>
      <c r="AT199" s="57"/>
      <c r="AU199" s="45"/>
      <c r="AV199" s="65"/>
      <c r="AW199" s="56"/>
      <c r="AX199" s="55"/>
      <c r="AY199" s="55"/>
      <c r="AZ199" s="55"/>
      <c r="BA199" s="55"/>
      <c r="BB199" s="55"/>
      <c r="BC199" s="55"/>
      <c r="BD199" s="45"/>
      <c r="BE199" s="65"/>
      <c r="BF199" s="55"/>
      <c r="BG199" s="55"/>
      <c r="BH199" s="55"/>
      <c r="BI199" s="55"/>
      <c r="BJ199" s="55"/>
      <c r="BK199" s="55"/>
      <c r="BL199" s="55"/>
      <c r="BM199" s="55"/>
    </row>
    <row r="200" spans="1:65">
      <c r="A200" s="12" t="str">
        <f>Roster!A200</f>
        <v/>
      </c>
      <c r="B200" s="28">
        <f>Roster!C200</f>
        <v>0</v>
      </c>
      <c r="C200" s="55"/>
      <c r="D200" s="56"/>
      <c r="E200" s="57"/>
      <c r="F200" s="57"/>
      <c r="G200" s="57"/>
      <c r="H200" s="57"/>
      <c r="I200" s="57"/>
      <c r="J200" s="57"/>
      <c r="K200" s="45"/>
      <c r="L200" s="58"/>
      <c r="M200" s="56"/>
      <c r="N200" s="57"/>
      <c r="O200" s="57"/>
      <c r="P200" s="57"/>
      <c r="Q200" s="57"/>
      <c r="R200" s="57"/>
      <c r="S200" s="57"/>
      <c r="T200" s="45"/>
      <c r="U200" s="65"/>
      <c r="V200" s="56"/>
      <c r="W200" s="57"/>
      <c r="X200" s="57"/>
      <c r="Y200" s="57"/>
      <c r="Z200" s="57"/>
      <c r="AA200" s="57"/>
      <c r="AB200" s="57"/>
      <c r="AC200" s="45"/>
      <c r="AD200" s="65"/>
      <c r="AE200" s="56"/>
      <c r="AF200" s="57"/>
      <c r="AG200" s="57"/>
      <c r="AH200" s="57"/>
      <c r="AI200" s="57"/>
      <c r="AJ200" s="57"/>
      <c r="AK200" s="57"/>
      <c r="AL200" s="45"/>
      <c r="AM200" s="65"/>
      <c r="AN200" s="56"/>
      <c r="AO200" s="57"/>
      <c r="AP200" s="57"/>
      <c r="AQ200" s="57"/>
      <c r="AR200" s="57"/>
      <c r="AS200" s="57"/>
      <c r="AT200" s="57"/>
      <c r="AU200" s="45"/>
      <c r="AV200" s="65"/>
      <c r="AW200" s="56"/>
      <c r="AX200" s="55"/>
      <c r="AY200" s="55"/>
      <c r="AZ200" s="55"/>
      <c r="BA200" s="55"/>
      <c r="BB200" s="55"/>
      <c r="BC200" s="55"/>
      <c r="BD200" s="45"/>
      <c r="BE200" s="65"/>
      <c r="BF200" s="55"/>
      <c r="BG200" s="55"/>
      <c r="BH200" s="55"/>
      <c r="BI200" s="55"/>
      <c r="BJ200" s="55"/>
      <c r="BK200" s="55"/>
      <c r="BL200" s="55"/>
      <c r="BM200" s="55"/>
    </row>
    <row r="201" spans="1:65">
      <c r="A201" s="12" t="str">
        <f>Roster!A201</f>
        <v/>
      </c>
      <c r="B201" s="28">
        <f>Roster!C201</f>
        <v>0</v>
      </c>
      <c r="C201" s="55"/>
      <c r="D201" s="56"/>
      <c r="E201" s="57"/>
      <c r="F201" s="57"/>
      <c r="G201" s="57"/>
      <c r="H201" s="57"/>
      <c r="I201" s="57"/>
      <c r="J201" s="57"/>
      <c r="K201" s="45"/>
      <c r="L201" s="58"/>
      <c r="M201" s="56"/>
      <c r="N201" s="57"/>
      <c r="O201" s="57"/>
      <c r="P201" s="57"/>
      <c r="Q201" s="57"/>
      <c r="R201" s="57"/>
      <c r="S201" s="57"/>
      <c r="T201" s="45"/>
      <c r="U201" s="65"/>
      <c r="V201" s="56"/>
      <c r="W201" s="57"/>
      <c r="X201" s="57"/>
      <c r="Y201" s="57"/>
      <c r="Z201" s="57"/>
      <c r="AA201" s="57"/>
      <c r="AB201" s="57"/>
      <c r="AC201" s="45"/>
      <c r="AD201" s="65"/>
      <c r="AE201" s="56"/>
      <c r="AF201" s="57"/>
      <c r="AG201" s="57"/>
      <c r="AH201" s="57"/>
      <c r="AI201" s="57"/>
      <c r="AJ201" s="57"/>
      <c r="AK201" s="57"/>
      <c r="AL201" s="45"/>
      <c r="AM201" s="65"/>
      <c r="AN201" s="56"/>
      <c r="AO201" s="57"/>
      <c r="AP201" s="57"/>
      <c r="AQ201" s="57"/>
      <c r="AR201" s="57"/>
      <c r="AS201" s="57"/>
      <c r="AT201" s="57"/>
      <c r="AU201" s="45"/>
      <c r="AV201" s="65"/>
      <c r="AW201" s="56"/>
      <c r="AX201" s="55"/>
      <c r="AY201" s="55"/>
      <c r="AZ201" s="55"/>
      <c r="BA201" s="55"/>
      <c r="BB201" s="55"/>
      <c r="BC201" s="55"/>
      <c r="BD201" s="45"/>
      <c r="BE201" s="65"/>
      <c r="BF201" s="55"/>
      <c r="BG201" s="55"/>
      <c r="BH201" s="55"/>
      <c r="BI201" s="55"/>
      <c r="BJ201" s="55"/>
      <c r="BK201" s="55"/>
      <c r="BL201" s="55"/>
      <c r="BM201" s="55"/>
    </row>
    <row r="202" spans="1:65">
      <c r="A202" s="12" t="str">
        <f>Roster!A202</f>
        <v/>
      </c>
      <c r="B202" s="28">
        <f>Roster!C202</f>
        <v>0</v>
      </c>
      <c r="C202" s="55"/>
      <c r="D202" s="56"/>
      <c r="E202" s="57"/>
      <c r="F202" s="57"/>
      <c r="G202" s="57"/>
      <c r="H202" s="57"/>
      <c r="I202" s="57"/>
      <c r="J202" s="57"/>
      <c r="K202" s="45"/>
      <c r="L202" s="58"/>
      <c r="M202" s="56"/>
      <c r="N202" s="57"/>
      <c r="O202" s="57"/>
      <c r="P202" s="57"/>
      <c r="Q202" s="57"/>
      <c r="R202" s="57"/>
      <c r="S202" s="57"/>
      <c r="T202" s="45"/>
      <c r="U202" s="71"/>
      <c r="V202" s="57"/>
      <c r="W202" s="57"/>
      <c r="X202" s="57"/>
      <c r="Y202" s="57"/>
      <c r="Z202" s="57"/>
      <c r="AA202" s="57"/>
      <c r="AB202" s="57"/>
      <c r="AC202" s="57"/>
      <c r="AD202" s="71"/>
      <c r="AE202" s="57"/>
      <c r="AF202" s="57"/>
      <c r="AG202" s="57"/>
      <c r="AH202" s="57"/>
      <c r="AI202" s="57"/>
      <c r="AJ202" s="57"/>
      <c r="AK202" s="57"/>
      <c r="AL202" s="57"/>
      <c r="AM202" s="71"/>
      <c r="AN202" s="57"/>
      <c r="AO202" s="57"/>
      <c r="AP202" s="57"/>
      <c r="AQ202" s="57"/>
      <c r="AR202" s="57"/>
      <c r="AS202" s="57"/>
      <c r="AT202" s="57"/>
      <c r="AU202" s="57"/>
      <c r="AV202" s="71"/>
      <c r="AW202" s="57"/>
      <c r="AX202" s="55"/>
      <c r="AY202" s="55"/>
      <c r="AZ202" s="55"/>
      <c r="BA202" s="55"/>
      <c r="BB202" s="55"/>
      <c r="BC202" s="55"/>
      <c r="BD202" s="57"/>
      <c r="BE202" s="65"/>
      <c r="BF202" s="55"/>
      <c r="BG202" s="55"/>
      <c r="BH202" s="55"/>
      <c r="BI202" s="55"/>
      <c r="BJ202" s="55"/>
      <c r="BK202" s="55"/>
      <c r="BL202" s="55"/>
      <c r="BM202" s="55"/>
    </row>
    <row r="203" spans="1:65">
      <c r="A203" s="12" t="str">
        <f>Roster!A203</f>
        <v/>
      </c>
      <c r="B203" s="28">
        <f>Roster!C203</f>
        <v>0</v>
      </c>
      <c r="C203" s="55"/>
      <c r="D203" s="56"/>
      <c r="E203" s="57"/>
      <c r="F203" s="57"/>
      <c r="G203" s="57"/>
      <c r="H203" s="57"/>
      <c r="I203" s="57"/>
      <c r="J203" s="57"/>
      <c r="K203" s="45"/>
      <c r="L203" s="58"/>
      <c r="M203" s="56"/>
      <c r="N203" s="57"/>
      <c r="O203" s="57"/>
      <c r="P203" s="57"/>
      <c r="Q203" s="57"/>
      <c r="R203" s="57"/>
      <c r="S203" s="57"/>
      <c r="T203" s="45"/>
      <c r="U203" s="71"/>
      <c r="V203" s="57"/>
      <c r="W203" s="57"/>
      <c r="X203" s="57"/>
      <c r="Y203" s="57"/>
      <c r="Z203" s="57"/>
      <c r="AA203" s="57"/>
      <c r="AB203" s="57"/>
      <c r="AC203" s="57"/>
      <c r="AD203" s="71"/>
      <c r="AE203" s="57"/>
      <c r="AF203" s="57"/>
      <c r="AG203" s="57"/>
      <c r="AH203" s="57"/>
      <c r="AI203" s="57"/>
      <c r="AJ203" s="57"/>
      <c r="AK203" s="57"/>
      <c r="AL203" s="57"/>
      <c r="AM203" s="71"/>
      <c r="AN203" s="57"/>
      <c r="AO203" s="57"/>
      <c r="AP203" s="57"/>
      <c r="AQ203" s="57"/>
      <c r="AR203" s="57"/>
      <c r="AS203" s="57"/>
      <c r="AT203" s="57"/>
      <c r="AU203" s="57"/>
      <c r="AV203" s="71"/>
      <c r="AW203" s="57"/>
      <c r="AX203" s="55"/>
      <c r="AY203" s="55"/>
      <c r="AZ203" s="55"/>
      <c r="BA203" s="55"/>
      <c r="BB203" s="55"/>
      <c r="BC203" s="55"/>
      <c r="BD203" s="57"/>
      <c r="BE203" s="65"/>
      <c r="BF203" s="55"/>
      <c r="BG203" s="55"/>
      <c r="BH203" s="55"/>
      <c r="BI203" s="55"/>
      <c r="BJ203" s="55"/>
      <c r="BK203" s="55"/>
      <c r="BL203" s="55"/>
      <c r="BM203" s="55"/>
    </row>
    <row r="204" spans="1:65">
      <c r="A204" s="12" t="str">
        <f>Roster!A204</f>
        <v/>
      </c>
      <c r="B204" s="28">
        <f>Roster!C204</f>
        <v>0</v>
      </c>
      <c r="C204" s="55"/>
      <c r="D204" s="56"/>
      <c r="E204" s="57"/>
      <c r="F204" s="57"/>
      <c r="G204" s="57"/>
      <c r="H204" s="57"/>
      <c r="I204" s="57"/>
      <c r="J204" s="57"/>
      <c r="K204" s="45"/>
      <c r="L204" s="58"/>
      <c r="M204" s="56"/>
      <c r="N204" s="57"/>
      <c r="O204" s="57"/>
      <c r="P204" s="57"/>
      <c r="Q204" s="57"/>
      <c r="R204" s="57"/>
      <c r="S204" s="57"/>
      <c r="T204" s="45"/>
      <c r="U204" s="71"/>
      <c r="V204" s="57"/>
      <c r="W204" s="57"/>
      <c r="X204" s="57"/>
      <c r="Y204" s="57"/>
      <c r="Z204" s="57"/>
      <c r="AA204" s="57"/>
      <c r="AB204" s="57"/>
      <c r="AC204" s="57"/>
      <c r="AD204" s="71"/>
      <c r="AE204" s="57"/>
      <c r="AF204" s="57"/>
      <c r="AG204" s="57"/>
      <c r="AH204" s="57"/>
      <c r="AI204" s="57"/>
      <c r="AJ204" s="57"/>
      <c r="AK204" s="57"/>
      <c r="AL204" s="57"/>
      <c r="AM204" s="71"/>
      <c r="AN204" s="57"/>
      <c r="AO204" s="57"/>
      <c r="AP204" s="57"/>
      <c r="AQ204" s="57"/>
      <c r="AR204" s="57"/>
      <c r="AS204" s="57"/>
      <c r="AT204" s="57"/>
      <c r="AU204" s="57"/>
      <c r="AV204" s="71"/>
      <c r="AW204" s="57"/>
      <c r="AX204" s="55"/>
      <c r="AY204" s="55"/>
      <c r="AZ204" s="55"/>
      <c r="BA204" s="55"/>
      <c r="BB204" s="55"/>
      <c r="BC204" s="55"/>
      <c r="BD204" s="57"/>
      <c r="BE204" s="65"/>
      <c r="BF204" s="55"/>
      <c r="BG204" s="55"/>
      <c r="BH204" s="55"/>
      <c r="BI204" s="55"/>
      <c r="BJ204" s="55"/>
      <c r="BK204" s="55"/>
      <c r="BL204" s="55"/>
      <c r="BM204" s="55"/>
    </row>
    <row r="205" spans="1:65">
      <c r="A205" s="12" t="str">
        <f>Roster!A205</f>
        <v/>
      </c>
      <c r="B205" s="28">
        <f>Roster!C205</f>
        <v>0</v>
      </c>
      <c r="C205" s="55"/>
      <c r="D205" s="56"/>
      <c r="E205" s="57"/>
      <c r="F205" s="57"/>
      <c r="G205" s="57"/>
      <c r="H205" s="57"/>
      <c r="I205" s="57"/>
      <c r="J205" s="57"/>
      <c r="K205" s="45"/>
      <c r="L205" s="58"/>
      <c r="M205" s="56"/>
      <c r="N205" s="57"/>
      <c r="O205" s="57"/>
      <c r="P205" s="57"/>
      <c r="Q205" s="57"/>
      <c r="R205" s="57"/>
      <c r="S205" s="57"/>
      <c r="T205" s="45"/>
      <c r="U205" s="71"/>
      <c r="V205" s="57"/>
      <c r="W205" s="57"/>
      <c r="X205" s="57"/>
      <c r="Y205" s="57"/>
      <c r="Z205" s="57"/>
      <c r="AA205" s="57"/>
      <c r="AB205" s="57"/>
      <c r="AC205" s="57"/>
      <c r="AD205" s="71"/>
      <c r="AE205" s="57"/>
      <c r="AF205" s="57"/>
      <c r="AG205" s="57"/>
      <c r="AH205" s="57"/>
      <c r="AI205" s="57"/>
      <c r="AJ205" s="57"/>
      <c r="AK205" s="57"/>
      <c r="AL205" s="57"/>
      <c r="AM205" s="71"/>
      <c r="AN205" s="57"/>
      <c r="AO205" s="57"/>
      <c r="AP205" s="57"/>
      <c r="AQ205" s="57"/>
      <c r="AR205" s="57"/>
      <c r="AS205" s="57"/>
      <c r="AT205" s="57"/>
      <c r="AU205" s="57"/>
      <c r="AV205" s="71"/>
      <c r="AW205" s="57"/>
      <c r="AX205" s="55"/>
      <c r="AY205" s="55"/>
      <c r="AZ205" s="55"/>
      <c r="BA205" s="55"/>
      <c r="BB205" s="55"/>
      <c r="BC205" s="55"/>
      <c r="BD205" s="57"/>
      <c r="BE205" s="65"/>
      <c r="BF205" s="55"/>
      <c r="BG205" s="55"/>
      <c r="BH205" s="55"/>
      <c r="BI205" s="55"/>
      <c r="BJ205" s="55"/>
      <c r="BK205" s="55"/>
      <c r="BL205" s="55"/>
      <c r="BM205" s="55"/>
    </row>
    <row r="206" spans="1:65">
      <c r="A206" s="12" t="str">
        <f>Roster!A206</f>
        <v/>
      </c>
      <c r="B206" s="28">
        <f>Roster!C206</f>
        <v>0</v>
      </c>
      <c r="C206" s="55"/>
      <c r="D206" s="56"/>
      <c r="E206" s="57"/>
      <c r="F206" s="57"/>
      <c r="G206" s="57"/>
      <c r="H206" s="57"/>
      <c r="I206" s="57"/>
      <c r="J206" s="57"/>
      <c r="K206" s="45"/>
      <c r="L206" s="58"/>
      <c r="M206" s="56"/>
      <c r="N206" s="57"/>
      <c r="O206" s="57"/>
      <c r="P206" s="57"/>
      <c r="Q206" s="57"/>
      <c r="R206" s="57"/>
      <c r="S206" s="57"/>
      <c r="T206" s="45"/>
      <c r="U206" s="71"/>
      <c r="V206" s="57"/>
      <c r="W206" s="57"/>
      <c r="X206" s="57"/>
      <c r="Y206" s="57"/>
      <c r="Z206" s="57"/>
      <c r="AA206" s="57"/>
      <c r="AB206" s="57"/>
      <c r="AC206" s="57"/>
      <c r="AD206" s="71"/>
      <c r="AE206" s="57"/>
      <c r="AF206" s="57"/>
      <c r="AG206" s="57"/>
      <c r="AH206" s="57"/>
      <c r="AI206" s="57"/>
      <c r="AJ206" s="57"/>
      <c r="AK206" s="57"/>
      <c r="AL206" s="57"/>
      <c r="AM206" s="71"/>
      <c r="AN206" s="57"/>
      <c r="AO206" s="57"/>
      <c r="AP206" s="57"/>
      <c r="AQ206" s="57"/>
      <c r="AR206" s="57"/>
      <c r="AS206" s="57"/>
      <c r="AT206" s="57"/>
      <c r="AU206" s="57"/>
      <c r="AV206" s="71"/>
      <c r="AW206" s="57"/>
      <c r="AX206" s="55"/>
      <c r="AY206" s="55"/>
      <c r="AZ206" s="55"/>
      <c r="BA206" s="55"/>
      <c r="BB206" s="55"/>
      <c r="BC206" s="55"/>
      <c r="BD206" s="57"/>
      <c r="BE206" s="65"/>
      <c r="BF206" s="55"/>
      <c r="BG206" s="55"/>
      <c r="BH206" s="55"/>
      <c r="BI206" s="55"/>
      <c r="BJ206" s="55"/>
      <c r="BK206" s="55"/>
      <c r="BL206" s="55"/>
      <c r="BM206" s="55"/>
    </row>
    <row r="207" spans="1:65">
      <c r="A207" s="12" t="str">
        <f>Roster!A207</f>
        <v/>
      </c>
      <c r="B207" s="28">
        <f>Roster!C207</f>
        <v>0</v>
      </c>
      <c r="C207" s="55"/>
      <c r="D207" s="56"/>
      <c r="E207" s="57"/>
      <c r="F207" s="57"/>
      <c r="G207" s="57"/>
      <c r="H207" s="57"/>
      <c r="I207" s="57"/>
      <c r="J207" s="57"/>
      <c r="K207" s="45"/>
      <c r="L207" s="58"/>
      <c r="M207" s="56"/>
      <c r="N207" s="57"/>
      <c r="O207" s="57"/>
      <c r="P207" s="57"/>
      <c r="Q207" s="57"/>
      <c r="R207" s="57"/>
      <c r="S207" s="57"/>
      <c r="T207" s="45"/>
      <c r="U207" s="71"/>
      <c r="V207" s="57"/>
      <c r="W207" s="57"/>
      <c r="X207" s="57"/>
      <c r="Y207" s="57"/>
      <c r="Z207" s="57"/>
      <c r="AA207" s="57"/>
      <c r="AB207" s="57"/>
      <c r="AC207" s="57"/>
      <c r="AD207" s="71"/>
      <c r="AE207" s="57"/>
      <c r="AF207" s="57"/>
      <c r="AG207" s="57"/>
      <c r="AH207" s="57"/>
      <c r="AI207" s="57"/>
      <c r="AJ207" s="57"/>
      <c r="AK207" s="57"/>
      <c r="AL207" s="57"/>
      <c r="AM207" s="71"/>
      <c r="AN207" s="57"/>
      <c r="AO207" s="57"/>
      <c r="AP207" s="57"/>
      <c r="AQ207" s="57"/>
      <c r="AR207" s="57"/>
      <c r="AS207" s="57"/>
      <c r="AT207" s="57"/>
      <c r="AU207" s="57"/>
      <c r="AV207" s="71"/>
      <c r="AW207" s="57"/>
      <c r="AX207" s="55"/>
      <c r="AY207" s="55"/>
      <c r="AZ207" s="55"/>
      <c r="BA207" s="55"/>
      <c r="BB207" s="55"/>
      <c r="BC207" s="55"/>
      <c r="BD207" s="57"/>
      <c r="BE207" s="65"/>
      <c r="BF207" s="55"/>
      <c r="BG207" s="55"/>
      <c r="BH207" s="55"/>
      <c r="BI207" s="55"/>
      <c r="BJ207" s="55"/>
      <c r="BK207" s="55"/>
      <c r="BL207" s="55"/>
      <c r="BM207" s="55"/>
    </row>
    <row r="208" spans="1:65">
      <c r="A208" s="12" t="str">
        <f>Roster!A208</f>
        <v/>
      </c>
      <c r="B208" s="28">
        <f>Roster!C208</f>
        <v>0</v>
      </c>
      <c r="C208" s="55"/>
      <c r="D208" s="56"/>
      <c r="E208" s="57"/>
      <c r="F208" s="57"/>
      <c r="G208" s="57"/>
      <c r="H208" s="57"/>
      <c r="I208" s="57"/>
      <c r="J208" s="57"/>
      <c r="K208" s="45"/>
      <c r="L208" s="58"/>
      <c r="M208" s="56"/>
      <c r="N208" s="57"/>
      <c r="O208" s="57"/>
      <c r="P208" s="57"/>
      <c r="Q208" s="57"/>
      <c r="R208" s="57"/>
      <c r="S208" s="57"/>
      <c r="T208" s="45"/>
      <c r="U208" s="71"/>
      <c r="V208" s="57"/>
      <c r="W208" s="57"/>
      <c r="X208" s="57"/>
      <c r="Y208" s="57"/>
      <c r="Z208" s="57"/>
      <c r="AA208" s="57"/>
      <c r="AB208" s="57"/>
      <c r="AC208" s="57"/>
      <c r="AD208" s="71"/>
      <c r="AE208" s="57"/>
      <c r="AF208" s="57"/>
      <c r="AG208" s="57"/>
      <c r="AH208" s="57"/>
      <c r="AI208" s="57"/>
      <c r="AJ208" s="57"/>
      <c r="AK208" s="57"/>
      <c r="AL208" s="57"/>
      <c r="AM208" s="71"/>
      <c r="AN208" s="57"/>
      <c r="AO208" s="57"/>
      <c r="AP208" s="57"/>
      <c r="AQ208" s="57"/>
      <c r="AR208" s="57"/>
      <c r="AS208" s="57"/>
      <c r="AT208" s="57"/>
      <c r="AU208" s="57"/>
      <c r="AV208" s="71"/>
      <c r="AW208" s="57"/>
      <c r="AX208" s="55"/>
      <c r="AY208" s="55"/>
      <c r="AZ208" s="55"/>
      <c r="BA208" s="55"/>
      <c r="BB208" s="55"/>
      <c r="BC208" s="55"/>
      <c r="BD208" s="57"/>
      <c r="BE208" s="65"/>
      <c r="BF208" s="55"/>
      <c r="BG208" s="55"/>
      <c r="BH208" s="55"/>
      <c r="BI208" s="55"/>
      <c r="BJ208" s="55"/>
      <c r="BK208" s="55"/>
      <c r="BL208" s="55"/>
      <c r="BM208" s="55"/>
    </row>
    <row r="209" spans="1:65">
      <c r="A209" s="12" t="str">
        <f>Roster!A209</f>
        <v/>
      </c>
      <c r="B209" s="28">
        <f>Roster!C209</f>
        <v>0</v>
      </c>
      <c r="C209" s="55"/>
      <c r="D209" s="56"/>
      <c r="E209" s="57"/>
      <c r="F209" s="57"/>
      <c r="G209" s="57"/>
      <c r="H209" s="57"/>
      <c r="I209" s="57"/>
      <c r="J209" s="57"/>
      <c r="K209" s="45"/>
      <c r="L209" s="58"/>
      <c r="M209" s="56"/>
      <c r="N209" s="57"/>
      <c r="O209" s="57"/>
      <c r="P209" s="57"/>
      <c r="Q209" s="57"/>
      <c r="R209" s="57"/>
      <c r="S209" s="57"/>
      <c r="T209" s="45"/>
      <c r="U209" s="71"/>
      <c r="V209" s="57"/>
      <c r="W209" s="57"/>
      <c r="X209" s="57"/>
      <c r="Y209" s="57"/>
      <c r="Z209" s="57"/>
      <c r="AA209" s="57"/>
      <c r="AB209" s="57"/>
      <c r="AC209" s="57"/>
      <c r="AD209" s="71"/>
      <c r="AE209" s="57"/>
      <c r="AF209" s="57"/>
      <c r="AG209" s="57"/>
      <c r="AH209" s="57"/>
      <c r="AI209" s="57"/>
      <c r="AJ209" s="57"/>
      <c r="AK209" s="57"/>
      <c r="AL209" s="57"/>
      <c r="AM209" s="71"/>
      <c r="AN209" s="57"/>
      <c r="AO209" s="57"/>
      <c r="AP209" s="57"/>
      <c r="AQ209" s="57"/>
      <c r="AR209" s="57"/>
      <c r="AS209" s="57"/>
      <c r="AT209" s="57"/>
      <c r="AU209" s="57"/>
      <c r="AV209" s="71"/>
      <c r="AW209" s="57"/>
      <c r="AX209" s="55"/>
      <c r="AY209" s="55"/>
      <c r="AZ209" s="55"/>
      <c r="BA209" s="55"/>
      <c r="BB209" s="55"/>
      <c r="BC209" s="55"/>
      <c r="BD209" s="57"/>
      <c r="BE209" s="65"/>
      <c r="BF209" s="55"/>
      <c r="BG209" s="55"/>
      <c r="BH209" s="55"/>
      <c r="BI209" s="55"/>
      <c r="BJ209" s="55"/>
      <c r="BK209" s="55"/>
      <c r="BL209" s="55"/>
      <c r="BM209" s="55"/>
    </row>
    <row r="210" spans="1:65">
      <c r="A210" s="12" t="str">
        <f>Roster!A210</f>
        <v/>
      </c>
      <c r="B210" s="28">
        <f>Roster!C210</f>
        <v>0</v>
      </c>
      <c r="C210" s="55"/>
      <c r="D210" s="56"/>
      <c r="E210" s="57"/>
      <c r="F210" s="57"/>
      <c r="G210" s="57"/>
      <c r="H210" s="57"/>
      <c r="I210" s="57"/>
      <c r="J210" s="57"/>
      <c r="K210" s="45"/>
      <c r="L210" s="58"/>
      <c r="M210" s="56"/>
      <c r="N210" s="57"/>
      <c r="O210" s="57"/>
      <c r="P210" s="57"/>
      <c r="Q210" s="57"/>
      <c r="R210" s="57"/>
      <c r="S210" s="57"/>
      <c r="T210" s="45"/>
      <c r="U210" s="71"/>
      <c r="V210" s="57"/>
      <c r="W210" s="57"/>
      <c r="X210" s="57"/>
      <c r="Y210" s="57"/>
      <c r="Z210" s="57"/>
      <c r="AA210" s="57"/>
      <c r="AB210" s="57"/>
      <c r="AC210" s="57"/>
      <c r="AD210" s="71"/>
      <c r="AE210" s="57"/>
      <c r="AF210" s="57"/>
      <c r="AG210" s="57"/>
      <c r="AH210" s="57"/>
      <c r="AI210" s="57"/>
      <c r="AJ210" s="57"/>
      <c r="AK210" s="57"/>
      <c r="AL210" s="57"/>
      <c r="AM210" s="71"/>
      <c r="AN210" s="57"/>
      <c r="AO210" s="57"/>
      <c r="AP210" s="57"/>
      <c r="AQ210" s="57"/>
      <c r="AR210" s="57"/>
      <c r="AS210" s="57"/>
      <c r="AT210" s="57"/>
      <c r="AU210" s="57"/>
      <c r="AV210" s="71"/>
      <c r="AW210" s="57"/>
      <c r="AX210" s="55"/>
      <c r="AY210" s="55"/>
      <c r="AZ210" s="55"/>
      <c r="BA210" s="55"/>
      <c r="BB210" s="55"/>
      <c r="BC210" s="55"/>
      <c r="BD210" s="57"/>
      <c r="BE210" s="65"/>
      <c r="BF210" s="55"/>
      <c r="BG210" s="55"/>
      <c r="BH210" s="55"/>
      <c r="BI210" s="55"/>
      <c r="BJ210" s="55"/>
      <c r="BK210" s="55"/>
      <c r="BL210" s="55"/>
      <c r="BM210" s="55"/>
    </row>
    <row r="211" spans="1:65">
      <c r="A211" s="12" t="str">
        <f>Roster!A211</f>
        <v/>
      </c>
      <c r="B211" s="28">
        <f>Roster!C211</f>
        <v>0</v>
      </c>
      <c r="C211" s="55"/>
      <c r="D211" s="56"/>
      <c r="E211" s="57"/>
      <c r="F211" s="57"/>
      <c r="G211" s="57"/>
      <c r="H211" s="57"/>
      <c r="I211" s="57"/>
      <c r="J211" s="57"/>
      <c r="K211" s="45"/>
      <c r="L211" s="58"/>
      <c r="M211" s="56"/>
      <c r="N211" s="57"/>
      <c r="O211" s="57"/>
      <c r="P211" s="57"/>
      <c r="Q211" s="57"/>
      <c r="R211" s="57"/>
      <c r="S211" s="57"/>
      <c r="T211" s="45"/>
      <c r="U211" s="71"/>
      <c r="V211" s="57"/>
      <c r="W211" s="57"/>
      <c r="X211" s="57"/>
      <c r="Y211" s="57"/>
      <c r="Z211" s="57"/>
      <c r="AA211" s="57"/>
      <c r="AB211" s="57"/>
      <c r="AC211" s="57"/>
      <c r="AD211" s="71"/>
      <c r="AE211" s="57"/>
      <c r="AF211" s="57"/>
      <c r="AG211" s="57"/>
      <c r="AH211" s="57"/>
      <c r="AI211" s="57"/>
      <c r="AJ211" s="57"/>
      <c r="AK211" s="57"/>
      <c r="AL211" s="57"/>
      <c r="AM211" s="71"/>
      <c r="AN211" s="57"/>
      <c r="AO211" s="57"/>
      <c r="AP211" s="57"/>
      <c r="AQ211" s="57"/>
      <c r="AR211" s="57"/>
      <c r="AS211" s="57"/>
      <c r="AT211" s="57"/>
      <c r="AU211" s="57"/>
      <c r="AV211" s="71"/>
      <c r="AW211" s="57"/>
      <c r="AX211" s="55"/>
      <c r="AY211" s="55"/>
      <c r="AZ211" s="55"/>
      <c r="BA211" s="55"/>
      <c r="BB211" s="55"/>
      <c r="BC211" s="55"/>
      <c r="BD211" s="57"/>
      <c r="BE211" s="65"/>
      <c r="BF211" s="55"/>
      <c r="BG211" s="55"/>
      <c r="BH211" s="55"/>
      <c r="BI211" s="55"/>
      <c r="BJ211" s="55"/>
      <c r="BK211" s="55"/>
      <c r="BL211" s="55"/>
      <c r="BM211" s="55"/>
    </row>
    <row r="212" spans="1:65">
      <c r="A212" s="12" t="str">
        <f>Roster!A212</f>
        <v/>
      </c>
      <c r="B212" s="28">
        <f>Roster!C212</f>
        <v>0</v>
      </c>
      <c r="C212" s="55"/>
      <c r="D212" s="56"/>
      <c r="E212" s="57"/>
      <c r="F212" s="57"/>
      <c r="G212" s="57"/>
      <c r="H212" s="57"/>
      <c r="I212" s="57"/>
      <c r="J212" s="57"/>
      <c r="K212" s="45"/>
      <c r="L212" s="58"/>
      <c r="M212" s="56"/>
      <c r="N212" s="57"/>
      <c r="O212" s="57"/>
      <c r="P212" s="57"/>
      <c r="Q212" s="57"/>
      <c r="R212" s="57"/>
      <c r="S212" s="57"/>
      <c r="T212" s="45"/>
      <c r="U212" s="71"/>
      <c r="V212" s="57"/>
      <c r="W212" s="57"/>
      <c r="X212" s="57"/>
      <c r="Y212" s="57"/>
      <c r="Z212" s="57"/>
      <c r="AA212" s="57"/>
      <c r="AB212" s="57"/>
      <c r="AC212" s="57"/>
      <c r="AD212" s="71"/>
      <c r="AE212" s="57"/>
      <c r="AF212" s="57"/>
      <c r="AG212" s="57"/>
      <c r="AH212" s="57"/>
      <c r="AI212" s="57"/>
      <c r="AJ212" s="57"/>
      <c r="AK212" s="57"/>
      <c r="AL212" s="57"/>
      <c r="AM212" s="71"/>
      <c r="AN212" s="57"/>
      <c r="AO212" s="57"/>
      <c r="AP212" s="57"/>
      <c r="AQ212" s="57"/>
      <c r="AR212" s="57"/>
      <c r="AS212" s="57"/>
      <c r="AT212" s="57"/>
      <c r="AU212" s="57"/>
      <c r="AV212" s="71"/>
      <c r="AW212" s="57"/>
      <c r="AX212" s="55"/>
      <c r="AY212" s="55"/>
      <c r="AZ212" s="55"/>
      <c r="BA212" s="55"/>
      <c r="BB212" s="55"/>
      <c r="BC212" s="55"/>
      <c r="BD212" s="57"/>
      <c r="BE212" s="65"/>
      <c r="BF212" s="55"/>
      <c r="BG212" s="55"/>
      <c r="BH212" s="55"/>
      <c r="BI212" s="55"/>
      <c r="BJ212" s="55"/>
      <c r="BK212" s="55"/>
      <c r="BL212" s="55"/>
      <c r="BM212" s="55"/>
    </row>
    <row r="213" spans="1:65">
      <c r="A213" s="12" t="str">
        <f>Roster!A213</f>
        <v/>
      </c>
      <c r="B213" s="28">
        <f>Roster!C213</f>
        <v>0</v>
      </c>
      <c r="C213" s="55"/>
      <c r="D213" s="56"/>
      <c r="E213" s="57"/>
      <c r="F213" s="57"/>
      <c r="G213" s="57"/>
      <c r="H213" s="57"/>
      <c r="I213" s="57"/>
      <c r="J213" s="57"/>
      <c r="K213" s="45"/>
      <c r="L213" s="58"/>
      <c r="M213" s="56"/>
      <c r="N213" s="57"/>
      <c r="O213" s="57"/>
      <c r="P213" s="57"/>
      <c r="Q213" s="57"/>
      <c r="R213" s="57"/>
      <c r="S213" s="57"/>
      <c r="T213" s="45"/>
      <c r="U213" s="71"/>
      <c r="V213" s="57"/>
      <c r="W213" s="57"/>
      <c r="X213" s="57"/>
      <c r="Y213" s="57"/>
      <c r="Z213" s="57"/>
      <c r="AA213" s="57"/>
      <c r="AB213" s="57"/>
      <c r="AC213" s="57"/>
      <c r="AD213" s="71"/>
      <c r="AE213" s="57"/>
      <c r="AF213" s="57"/>
      <c r="AG213" s="57"/>
      <c r="AH213" s="57"/>
      <c r="AI213" s="57"/>
      <c r="AJ213" s="57"/>
      <c r="AK213" s="57"/>
      <c r="AL213" s="57"/>
      <c r="AM213" s="71"/>
      <c r="AN213" s="57"/>
      <c r="AO213" s="57"/>
      <c r="AP213" s="57"/>
      <c r="AQ213" s="57"/>
      <c r="AR213" s="57"/>
      <c r="AS213" s="57"/>
      <c r="AT213" s="57"/>
      <c r="AU213" s="57"/>
      <c r="AV213" s="71"/>
      <c r="AW213" s="57"/>
      <c r="AX213" s="55"/>
      <c r="AY213" s="55"/>
      <c r="AZ213" s="55"/>
      <c r="BA213" s="55"/>
      <c r="BB213" s="55"/>
      <c r="BC213" s="55"/>
      <c r="BD213" s="57"/>
      <c r="BE213" s="65"/>
      <c r="BF213" s="55"/>
      <c r="BG213" s="55"/>
      <c r="BH213" s="55"/>
      <c r="BI213" s="55"/>
      <c r="BJ213" s="55"/>
      <c r="BK213" s="55"/>
      <c r="BL213" s="55"/>
      <c r="BM213" s="55"/>
    </row>
    <row r="214" spans="1:65">
      <c r="A214" s="12" t="str">
        <f>Roster!A214</f>
        <v/>
      </c>
      <c r="B214" s="28">
        <f>Roster!C214</f>
        <v>0</v>
      </c>
      <c r="C214" s="55"/>
      <c r="D214" s="56"/>
      <c r="E214" s="57"/>
      <c r="F214" s="57"/>
      <c r="G214" s="57"/>
      <c r="H214" s="57"/>
      <c r="I214" s="57"/>
      <c r="J214" s="57"/>
      <c r="K214" s="45"/>
      <c r="L214" s="58"/>
      <c r="M214" s="56"/>
      <c r="N214" s="57"/>
      <c r="O214" s="57"/>
      <c r="P214" s="57"/>
      <c r="Q214" s="57"/>
      <c r="R214" s="57"/>
      <c r="S214" s="57"/>
      <c r="T214" s="45"/>
      <c r="U214" s="71"/>
      <c r="V214" s="57"/>
      <c r="W214" s="57"/>
      <c r="X214" s="57"/>
      <c r="Y214" s="57"/>
      <c r="Z214" s="57"/>
      <c r="AA214" s="57"/>
      <c r="AB214" s="57"/>
      <c r="AC214" s="57"/>
      <c r="AD214" s="71"/>
      <c r="AE214" s="57"/>
      <c r="AF214" s="57"/>
      <c r="AG214" s="57"/>
      <c r="AH214" s="57"/>
      <c r="AI214" s="57"/>
      <c r="AJ214" s="57"/>
      <c r="AK214" s="57"/>
      <c r="AL214" s="57"/>
      <c r="AM214" s="71"/>
      <c r="AN214" s="57"/>
      <c r="AO214" s="57"/>
      <c r="AP214" s="57"/>
      <c r="AQ214" s="57"/>
      <c r="AR214" s="57"/>
      <c r="AS214" s="57"/>
      <c r="AT214" s="57"/>
      <c r="AU214" s="57"/>
      <c r="AV214" s="71"/>
      <c r="AW214" s="57"/>
      <c r="AX214" s="55"/>
      <c r="AY214" s="55"/>
      <c r="AZ214" s="55"/>
      <c r="BA214" s="55"/>
      <c r="BB214" s="55"/>
      <c r="BC214" s="55"/>
      <c r="BD214" s="57"/>
      <c r="BE214" s="65"/>
      <c r="BF214" s="55"/>
      <c r="BG214" s="55"/>
      <c r="BH214" s="55"/>
      <c r="BI214" s="55"/>
      <c r="BJ214" s="55"/>
      <c r="BK214" s="55"/>
      <c r="BL214" s="55"/>
      <c r="BM214" s="55"/>
    </row>
    <row r="215" spans="1:65">
      <c r="A215" s="12" t="str">
        <f>Roster!A215</f>
        <v/>
      </c>
      <c r="B215" s="28">
        <f>Roster!C215</f>
        <v>0</v>
      </c>
      <c r="C215" s="55"/>
      <c r="D215" s="56"/>
      <c r="E215" s="57"/>
      <c r="F215" s="57"/>
      <c r="G215" s="57"/>
      <c r="H215" s="57"/>
      <c r="I215" s="57"/>
      <c r="J215" s="57"/>
      <c r="K215" s="45"/>
      <c r="L215" s="58"/>
      <c r="M215" s="56"/>
      <c r="N215" s="57"/>
      <c r="O215" s="57"/>
      <c r="P215" s="57"/>
      <c r="Q215" s="57"/>
      <c r="R215" s="57"/>
      <c r="S215" s="57"/>
      <c r="T215" s="45"/>
      <c r="U215" s="71"/>
      <c r="V215" s="57"/>
      <c r="W215" s="57"/>
      <c r="X215" s="57"/>
      <c r="Y215" s="57"/>
      <c r="Z215" s="57"/>
      <c r="AA215" s="57"/>
      <c r="AB215" s="57"/>
      <c r="AC215" s="57"/>
      <c r="AD215" s="71"/>
      <c r="AE215" s="57"/>
      <c r="AF215" s="57"/>
      <c r="AG215" s="57"/>
      <c r="AH215" s="57"/>
      <c r="AI215" s="57"/>
      <c r="AJ215" s="57"/>
      <c r="AK215" s="57"/>
      <c r="AL215" s="57"/>
      <c r="AM215" s="71"/>
      <c r="AN215" s="57"/>
      <c r="AO215" s="57"/>
      <c r="AP215" s="57"/>
      <c r="AQ215" s="57"/>
      <c r="AR215" s="57"/>
      <c r="AS215" s="57"/>
      <c r="AT215" s="57"/>
      <c r="AU215" s="57"/>
      <c r="AV215" s="71"/>
      <c r="AW215" s="57"/>
      <c r="AX215" s="55"/>
      <c r="AY215" s="55"/>
      <c r="AZ215" s="55"/>
      <c r="BA215" s="55"/>
      <c r="BB215" s="55"/>
      <c r="BC215" s="55"/>
      <c r="BD215" s="57"/>
      <c r="BE215" s="65"/>
      <c r="BF215" s="55"/>
      <c r="BG215" s="55"/>
      <c r="BH215" s="55"/>
      <c r="BI215" s="55"/>
      <c r="BJ215" s="55"/>
      <c r="BK215" s="55"/>
      <c r="BL215" s="55"/>
      <c r="BM215" s="55"/>
    </row>
    <row r="216" spans="1:65">
      <c r="A216" s="12" t="str">
        <f>Roster!A216</f>
        <v/>
      </c>
      <c r="B216" s="28">
        <f>Roster!C216</f>
        <v>0</v>
      </c>
      <c r="C216" s="55"/>
      <c r="D216" s="56"/>
      <c r="E216" s="57"/>
      <c r="F216" s="57"/>
      <c r="G216" s="57"/>
      <c r="H216" s="57"/>
      <c r="I216" s="57"/>
      <c r="J216" s="57"/>
      <c r="K216" s="45"/>
      <c r="L216" s="58"/>
      <c r="M216" s="56"/>
      <c r="N216" s="57"/>
      <c r="O216" s="57"/>
      <c r="P216" s="57"/>
      <c r="Q216" s="57"/>
      <c r="R216" s="57"/>
      <c r="S216" s="57"/>
      <c r="T216" s="45"/>
      <c r="U216" s="71"/>
      <c r="V216" s="57"/>
      <c r="W216" s="57"/>
      <c r="X216" s="57"/>
      <c r="Y216" s="57"/>
      <c r="Z216" s="57"/>
      <c r="AA216" s="57"/>
      <c r="AB216" s="57"/>
      <c r="AC216" s="57"/>
      <c r="AD216" s="71"/>
      <c r="AE216" s="57"/>
      <c r="AF216" s="57"/>
      <c r="AG216" s="57"/>
      <c r="AH216" s="57"/>
      <c r="AI216" s="57"/>
      <c r="AJ216" s="57"/>
      <c r="AK216" s="57"/>
      <c r="AL216" s="57"/>
      <c r="AM216" s="71"/>
      <c r="AN216" s="57"/>
      <c r="AO216" s="57"/>
      <c r="AP216" s="57"/>
      <c r="AQ216" s="57"/>
      <c r="AR216" s="57"/>
      <c r="AS216" s="57"/>
      <c r="AT216" s="57"/>
      <c r="AU216" s="57"/>
      <c r="AV216" s="71"/>
      <c r="AW216" s="57"/>
      <c r="AX216" s="55"/>
      <c r="AY216" s="55"/>
      <c r="AZ216" s="55"/>
      <c r="BA216" s="55"/>
      <c r="BB216" s="55"/>
      <c r="BC216" s="55"/>
      <c r="BD216" s="57"/>
      <c r="BE216" s="65"/>
      <c r="BF216" s="55"/>
      <c r="BG216" s="55"/>
      <c r="BH216" s="55"/>
      <c r="BI216" s="55"/>
      <c r="BJ216" s="55"/>
      <c r="BK216" s="55"/>
      <c r="BL216" s="55"/>
      <c r="BM216" s="55"/>
    </row>
    <row r="217" spans="1:65">
      <c r="A217" s="12" t="str">
        <f>Roster!A217</f>
        <v/>
      </c>
      <c r="B217" s="28">
        <f>Roster!C217</f>
        <v>0</v>
      </c>
      <c r="C217" s="55"/>
      <c r="D217" s="56"/>
      <c r="E217" s="57"/>
      <c r="F217" s="57"/>
      <c r="G217" s="57"/>
      <c r="H217" s="57"/>
      <c r="I217" s="57"/>
      <c r="J217" s="57"/>
      <c r="K217" s="45"/>
      <c r="L217" s="58"/>
      <c r="M217" s="56"/>
      <c r="N217" s="57"/>
      <c r="O217" s="57"/>
      <c r="P217" s="57"/>
      <c r="Q217" s="57"/>
      <c r="R217" s="57"/>
      <c r="S217" s="57"/>
      <c r="T217" s="45"/>
      <c r="U217" s="71"/>
      <c r="V217" s="57"/>
      <c r="W217" s="57"/>
      <c r="X217" s="57"/>
      <c r="Y217" s="57"/>
      <c r="Z217" s="57"/>
      <c r="AA217" s="57"/>
      <c r="AB217" s="57"/>
      <c r="AC217" s="57"/>
      <c r="AD217" s="71"/>
      <c r="AE217" s="57"/>
      <c r="AF217" s="57"/>
      <c r="AG217" s="57"/>
      <c r="AH217" s="57"/>
      <c r="AI217" s="57"/>
      <c r="AJ217" s="57"/>
      <c r="AK217" s="57"/>
      <c r="AL217" s="57"/>
      <c r="AM217" s="71"/>
      <c r="AN217" s="57"/>
      <c r="AO217" s="57"/>
      <c r="AP217" s="57"/>
      <c r="AQ217" s="57"/>
      <c r="AR217" s="57"/>
      <c r="AS217" s="57"/>
      <c r="AT217" s="57"/>
      <c r="AU217" s="57"/>
      <c r="AV217" s="71"/>
      <c r="AW217" s="57"/>
      <c r="AX217" s="55"/>
      <c r="AY217" s="55"/>
      <c r="AZ217" s="55"/>
      <c r="BA217" s="55"/>
      <c r="BB217" s="55"/>
      <c r="BC217" s="55"/>
      <c r="BD217" s="57"/>
      <c r="BE217" s="65"/>
      <c r="BF217" s="55"/>
      <c r="BG217" s="55"/>
      <c r="BH217" s="55"/>
      <c r="BI217" s="55"/>
      <c r="BJ217" s="55"/>
      <c r="BK217" s="55"/>
      <c r="BL217" s="55"/>
      <c r="BM217" s="55"/>
    </row>
    <row r="218" spans="1:65">
      <c r="A218" s="12" t="str">
        <f>Roster!A218</f>
        <v/>
      </c>
      <c r="B218" s="28">
        <f>Roster!C218</f>
        <v>0</v>
      </c>
      <c r="C218" s="55"/>
      <c r="D218" s="56"/>
      <c r="E218" s="57"/>
      <c r="F218" s="57"/>
      <c r="G218" s="57"/>
      <c r="H218" s="57"/>
      <c r="I218" s="57"/>
      <c r="J218" s="57"/>
      <c r="K218" s="45"/>
      <c r="L218" s="58"/>
      <c r="M218" s="56"/>
      <c r="N218" s="57"/>
      <c r="O218" s="57"/>
      <c r="P218" s="57"/>
      <c r="Q218" s="57"/>
      <c r="R218" s="57"/>
      <c r="S218" s="57"/>
      <c r="T218" s="45"/>
      <c r="U218" s="71"/>
      <c r="V218" s="57"/>
      <c r="W218" s="57"/>
      <c r="X218" s="57"/>
      <c r="Y218" s="57"/>
      <c r="Z218" s="57"/>
      <c r="AA218" s="57"/>
      <c r="AB218" s="57"/>
      <c r="AC218" s="57"/>
      <c r="AD218" s="71"/>
      <c r="AE218" s="57"/>
      <c r="AF218" s="57"/>
      <c r="AG218" s="57"/>
      <c r="AH218" s="57"/>
      <c r="AI218" s="57"/>
      <c r="AJ218" s="57"/>
      <c r="AK218" s="57"/>
      <c r="AL218" s="57"/>
      <c r="AM218" s="71"/>
      <c r="AN218" s="57"/>
      <c r="AO218" s="57"/>
      <c r="AP218" s="57"/>
      <c r="AQ218" s="57"/>
      <c r="AR218" s="57"/>
      <c r="AS218" s="57"/>
      <c r="AT218" s="57"/>
      <c r="AU218" s="57"/>
      <c r="AV218" s="71"/>
      <c r="AW218" s="57"/>
      <c r="AX218" s="55"/>
      <c r="AY218" s="55"/>
      <c r="AZ218" s="55"/>
      <c r="BA218" s="55"/>
      <c r="BB218" s="55"/>
      <c r="BC218" s="55"/>
      <c r="BD218" s="57"/>
      <c r="BE218" s="65"/>
      <c r="BF218" s="55"/>
      <c r="BG218" s="55"/>
      <c r="BH218" s="55"/>
      <c r="BI218" s="55"/>
      <c r="BJ218" s="55"/>
      <c r="BK218" s="55"/>
      <c r="BL218" s="55"/>
      <c r="BM218" s="55"/>
    </row>
    <row r="219" spans="1:65">
      <c r="A219" s="12" t="str">
        <f>Roster!A219</f>
        <v/>
      </c>
      <c r="B219" s="28">
        <f>Roster!C219</f>
        <v>0</v>
      </c>
      <c r="C219" s="55"/>
      <c r="D219" s="56"/>
      <c r="E219" s="57"/>
      <c r="F219" s="57"/>
      <c r="G219" s="57"/>
      <c r="H219" s="57"/>
      <c r="I219" s="57"/>
      <c r="J219" s="57"/>
      <c r="K219" s="45"/>
      <c r="L219" s="58"/>
      <c r="M219" s="56"/>
      <c r="N219" s="57"/>
      <c r="O219" s="57"/>
      <c r="P219" s="57"/>
      <c r="Q219" s="57"/>
      <c r="R219" s="57"/>
      <c r="S219" s="57"/>
      <c r="T219" s="45"/>
      <c r="U219" s="71"/>
      <c r="V219" s="57"/>
      <c r="W219" s="57"/>
      <c r="X219" s="57"/>
      <c r="Y219" s="57"/>
      <c r="Z219" s="57"/>
      <c r="AA219" s="57"/>
      <c r="AB219" s="57"/>
      <c r="AC219" s="57"/>
      <c r="AD219" s="71"/>
      <c r="AE219" s="57"/>
      <c r="AF219" s="57"/>
      <c r="AG219" s="57"/>
      <c r="AH219" s="57"/>
      <c r="AI219" s="57"/>
      <c r="AJ219" s="57"/>
      <c r="AK219" s="57"/>
      <c r="AL219" s="57"/>
      <c r="AM219" s="71"/>
      <c r="AN219" s="57"/>
      <c r="AO219" s="57"/>
      <c r="AP219" s="57"/>
      <c r="AQ219" s="57"/>
      <c r="AR219" s="57"/>
      <c r="AS219" s="57"/>
      <c r="AT219" s="57"/>
      <c r="AU219" s="57"/>
      <c r="AV219" s="71"/>
      <c r="AW219" s="57"/>
      <c r="AX219" s="55"/>
      <c r="AY219" s="55"/>
      <c r="AZ219" s="55"/>
      <c r="BA219" s="55"/>
      <c r="BB219" s="55"/>
      <c r="BC219" s="55"/>
      <c r="BD219" s="57"/>
      <c r="BE219" s="65"/>
      <c r="BF219" s="55"/>
      <c r="BG219" s="55"/>
      <c r="BH219" s="55"/>
      <c r="BI219" s="55"/>
      <c r="BJ219" s="55"/>
      <c r="BK219" s="55"/>
      <c r="BL219" s="55"/>
      <c r="BM219" s="55"/>
    </row>
    <row r="220" spans="1:65">
      <c r="A220" s="12" t="str">
        <f>Roster!A220</f>
        <v/>
      </c>
      <c r="B220" s="28">
        <f>Roster!C220</f>
        <v>0</v>
      </c>
      <c r="C220" s="55"/>
      <c r="D220" s="56"/>
      <c r="E220" s="57"/>
      <c r="F220" s="57"/>
      <c r="G220" s="57"/>
      <c r="H220" s="57"/>
      <c r="I220" s="57"/>
      <c r="J220" s="57"/>
      <c r="K220" s="45"/>
      <c r="L220" s="58"/>
      <c r="M220" s="56"/>
      <c r="N220" s="57"/>
      <c r="O220" s="57"/>
      <c r="P220" s="57"/>
      <c r="Q220" s="57"/>
      <c r="R220" s="57"/>
      <c r="S220" s="57"/>
      <c r="T220" s="45"/>
      <c r="U220" s="71"/>
      <c r="V220" s="57"/>
      <c r="W220" s="57"/>
      <c r="X220" s="57"/>
      <c r="Y220" s="57"/>
      <c r="Z220" s="57"/>
      <c r="AA220" s="57"/>
      <c r="AB220" s="57"/>
      <c r="AC220" s="57"/>
      <c r="AD220" s="71"/>
      <c r="AE220" s="57"/>
      <c r="AF220" s="57"/>
      <c r="AG220" s="57"/>
      <c r="AH220" s="57"/>
      <c r="AI220" s="57"/>
      <c r="AJ220" s="57"/>
      <c r="AK220" s="57"/>
      <c r="AL220" s="57"/>
      <c r="AM220" s="71"/>
      <c r="AN220" s="57"/>
      <c r="AO220" s="57"/>
      <c r="AP220" s="57"/>
      <c r="AQ220" s="57"/>
      <c r="AR220" s="57"/>
      <c r="AS220" s="57"/>
      <c r="AT220" s="57"/>
      <c r="AU220" s="57"/>
      <c r="AV220" s="71"/>
      <c r="AW220" s="57"/>
      <c r="AX220" s="55"/>
      <c r="AY220" s="55"/>
      <c r="AZ220" s="55"/>
      <c r="BA220" s="55"/>
      <c r="BB220" s="55"/>
      <c r="BC220" s="55"/>
      <c r="BD220" s="57"/>
      <c r="BE220" s="65"/>
      <c r="BF220" s="55"/>
      <c r="BG220" s="55"/>
      <c r="BH220" s="55"/>
      <c r="BI220" s="55"/>
      <c r="BJ220" s="55"/>
      <c r="BK220" s="55"/>
      <c r="BL220" s="55"/>
      <c r="BM220" s="55"/>
    </row>
    <row r="221" spans="1:65">
      <c r="A221" s="12" t="str">
        <f>Roster!A221</f>
        <v/>
      </c>
      <c r="B221" s="28">
        <f>Roster!C221</f>
        <v>0</v>
      </c>
      <c r="C221" s="55"/>
      <c r="D221" s="56"/>
      <c r="E221" s="57"/>
      <c r="F221" s="57"/>
      <c r="G221" s="57"/>
      <c r="H221" s="57"/>
      <c r="I221" s="57"/>
      <c r="J221" s="57"/>
      <c r="K221" s="45"/>
      <c r="L221" s="58"/>
      <c r="M221" s="56"/>
      <c r="N221" s="57"/>
      <c r="O221" s="57"/>
      <c r="P221" s="57"/>
      <c r="Q221" s="57"/>
      <c r="R221" s="57"/>
      <c r="S221" s="57"/>
      <c r="T221" s="45"/>
      <c r="U221" s="71"/>
      <c r="V221" s="57"/>
      <c r="W221" s="57"/>
      <c r="X221" s="57"/>
      <c r="Y221" s="57"/>
      <c r="Z221" s="57"/>
      <c r="AA221" s="57"/>
      <c r="AB221" s="57"/>
      <c r="AC221" s="57"/>
      <c r="AD221" s="71"/>
      <c r="AE221" s="57"/>
      <c r="AF221" s="57"/>
      <c r="AG221" s="57"/>
      <c r="AH221" s="57"/>
      <c r="AI221" s="57"/>
      <c r="AJ221" s="57"/>
      <c r="AK221" s="57"/>
      <c r="AL221" s="57"/>
      <c r="AM221" s="71"/>
      <c r="AN221" s="57"/>
      <c r="AO221" s="57"/>
      <c r="AP221" s="57"/>
      <c r="AQ221" s="57"/>
      <c r="AR221" s="57"/>
      <c r="AS221" s="57"/>
      <c r="AT221" s="57"/>
      <c r="AU221" s="57"/>
      <c r="AV221" s="71"/>
      <c r="AW221" s="57"/>
      <c r="AX221" s="55"/>
      <c r="AY221" s="55"/>
      <c r="AZ221" s="55"/>
      <c r="BA221" s="55"/>
      <c r="BB221" s="55"/>
      <c r="BC221" s="55"/>
      <c r="BD221" s="57"/>
      <c r="BE221" s="65"/>
      <c r="BF221" s="55"/>
      <c r="BG221" s="55"/>
      <c r="BH221" s="55"/>
      <c r="BI221" s="55"/>
      <c r="BJ221" s="55"/>
      <c r="BK221" s="55"/>
      <c r="BL221" s="55"/>
      <c r="BM221" s="55"/>
    </row>
    <row r="222" spans="1:65">
      <c r="A222" s="12" t="str">
        <f>Roster!A222</f>
        <v/>
      </c>
      <c r="B222" s="28">
        <f>Roster!C222</f>
        <v>0</v>
      </c>
      <c r="C222" s="55"/>
      <c r="D222" s="56"/>
      <c r="E222" s="57"/>
      <c r="F222" s="57"/>
      <c r="G222" s="57"/>
      <c r="H222" s="57"/>
      <c r="I222" s="57"/>
      <c r="J222" s="57"/>
      <c r="K222" s="45"/>
      <c r="L222" s="58"/>
      <c r="M222" s="56"/>
      <c r="N222" s="57"/>
      <c r="O222" s="57"/>
      <c r="P222" s="57"/>
      <c r="Q222" s="57"/>
      <c r="R222" s="57"/>
      <c r="S222" s="57"/>
      <c r="T222" s="45"/>
      <c r="U222" s="71"/>
      <c r="V222" s="57"/>
      <c r="W222" s="57"/>
      <c r="X222" s="57"/>
      <c r="Y222" s="57"/>
      <c r="Z222" s="57"/>
      <c r="AA222" s="57"/>
      <c r="AB222" s="57"/>
      <c r="AC222" s="57"/>
      <c r="AD222" s="71"/>
      <c r="AE222" s="57"/>
      <c r="AF222" s="57"/>
      <c r="AG222" s="57"/>
      <c r="AH222" s="57"/>
      <c r="AI222" s="57"/>
      <c r="AJ222" s="57"/>
      <c r="AK222" s="57"/>
      <c r="AL222" s="57"/>
      <c r="AM222" s="71"/>
      <c r="AN222" s="57"/>
      <c r="AO222" s="57"/>
      <c r="AP222" s="57"/>
      <c r="AQ222" s="57"/>
      <c r="AR222" s="57"/>
      <c r="AS222" s="57"/>
      <c r="AT222" s="57"/>
      <c r="AU222" s="57"/>
      <c r="AV222" s="71"/>
      <c r="AW222" s="57"/>
      <c r="AX222" s="55"/>
      <c r="AY222" s="55"/>
      <c r="AZ222" s="55"/>
      <c r="BA222" s="55"/>
      <c r="BB222" s="55"/>
      <c r="BC222" s="55"/>
      <c r="BD222" s="57"/>
      <c r="BE222" s="65"/>
      <c r="BF222" s="55"/>
      <c r="BG222" s="55"/>
      <c r="BH222" s="55"/>
      <c r="BI222" s="55"/>
      <c r="BJ222" s="55"/>
      <c r="BK222" s="55"/>
      <c r="BL222" s="55"/>
      <c r="BM222" s="55"/>
    </row>
    <row r="223" spans="1:65">
      <c r="A223" s="12" t="str">
        <f>Roster!A223</f>
        <v/>
      </c>
      <c r="B223" s="28">
        <f>Roster!C223</f>
        <v>0</v>
      </c>
      <c r="C223" s="55"/>
      <c r="D223" s="56"/>
      <c r="E223" s="57"/>
      <c r="F223" s="57"/>
      <c r="G223" s="57"/>
      <c r="H223" s="57"/>
      <c r="I223" s="57"/>
      <c r="J223" s="57"/>
      <c r="K223" s="45"/>
      <c r="L223" s="58"/>
      <c r="M223" s="56"/>
      <c r="N223" s="57"/>
      <c r="O223" s="57"/>
      <c r="P223" s="57"/>
      <c r="Q223" s="57"/>
      <c r="R223" s="57"/>
      <c r="S223" s="57"/>
      <c r="T223" s="45"/>
      <c r="U223" s="71"/>
      <c r="V223" s="57"/>
      <c r="W223" s="57"/>
      <c r="X223" s="57"/>
      <c r="Y223" s="57"/>
      <c r="Z223" s="57"/>
      <c r="AA223" s="57"/>
      <c r="AB223" s="57"/>
      <c r="AC223" s="57"/>
      <c r="AD223" s="71"/>
      <c r="AE223" s="57"/>
      <c r="AF223" s="57"/>
      <c r="AG223" s="57"/>
      <c r="AH223" s="57"/>
      <c r="AI223" s="57"/>
      <c r="AJ223" s="57"/>
      <c r="AK223" s="57"/>
      <c r="AL223" s="57"/>
      <c r="AM223" s="71"/>
      <c r="AN223" s="57"/>
      <c r="AO223" s="57"/>
      <c r="AP223" s="57"/>
      <c r="AQ223" s="57"/>
      <c r="AR223" s="57"/>
      <c r="AS223" s="57"/>
      <c r="AT223" s="57"/>
      <c r="AU223" s="57"/>
      <c r="AV223" s="71"/>
      <c r="AW223" s="57"/>
      <c r="AX223" s="55"/>
      <c r="AY223" s="55"/>
      <c r="AZ223" s="55"/>
      <c r="BA223" s="55"/>
      <c r="BB223" s="55"/>
      <c r="BC223" s="55"/>
      <c r="BD223" s="57"/>
      <c r="BE223" s="65"/>
      <c r="BF223" s="55"/>
      <c r="BG223" s="55"/>
      <c r="BH223" s="55"/>
      <c r="BI223" s="55"/>
      <c r="BJ223" s="55"/>
      <c r="BK223" s="55"/>
      <c r="BL223" s="55"/>
      <c r="BM223" s="55"/>
    </row>
    <row r="224" spans="1:65">
      <c r="A224" s="12" t="str">
        <f>Roster!A224</f>
        <v/>
      </c>
      <c r="B224" s="28">
        <f>Roster!C224</f>
        <v>0</v>
      </c>
      <c r="C224" s="55"/>
      <c r="D224" s="56"/>
      <c r="E224" s="57"/>
      <c r="F224" s="57"/>
      <c r="G224" s="57"/>
      <c r="H224" s="57"/>
      <c r="I224" s="57"/>
      <c r="J224" s="57"/>
      <c r="K224" s="45"/>
      <c r="L224" s="58"/>
      <c r="M224" s="56"/>
      <c r="N224" s="57"/>
      <c r="O224" s="57"/>
      <c r="P224" s="57"/>
      <c r="Q224" s="57"/>
      <c r="R224" s="57"/>
      <c r="S224" s="57"/>
      <c r="T224" s="45"/>
      <c r="U224" s="71"/>
      <c r="V224" s="57"/>
      <c r="W224" s="57"/>
      <c r="X224" s="57"/>
      <c r="Y224" s="57"/>
      <c r="Z224" s="57"/>
      <c r="AA224" s="57"/>
      <c r="AB224" s="57"/>
      <c r="AC224" s="57"/>
      <c r="AD224" s="71"/>
      <c r="AE224" s="57"/>
      <c r="AF224" s="57"/>
      <c r="AG224" s="57"/>
      <c r="AH224" s="57"/>
      <c r="AI224" s="57"/>
      <c r="AJ224" s="57"/>
      <c r="AK224" s="57"/>
      <c r="AL224" s="57"/>
      <c r="AM224" s="71"/>
      <c r="AN224" s="57"/>
      <c r="AO224" s="57"/>
      <c r="AP224" s="57"/>
      <c r="AQ224" s="57"/>
      <c r="AR224" s="57"/>
      <c r="AS224" s="57"/>
      <c r="AT224" s="57"/>
      <c r="AU224" s="57"/>
      <c r="AV224" s="71"/>
      <c r="AW224" s="57"/>
      <c r="AX224" s="55"/>
      <c r="AY224" s="55"/>
      <c r="AZ224" s="55"/>
      <c r="BA224" s="55"/>
      <c r="BB224" s="55"/>
      <c r="BC224" s="55"/>
      <c r="BD224" s="57"/>
      <c r="BE224" s="65"/>
      <c r="BF224" s="55"/>
      <c r="BG224" s="55"/>
      <c r="BH224" s="55"/>
      <c r="BI224" s="55"/>
      <c r="BJ224" s="55"/>
      <c r="BK224" s="55"/>
      <c r="BL224" s="55"/>
      <c r="BM224" s="55"/>
    </row>
    <row r="225" spans="1:65">
      <c r="A225" s="12" t="str">
        <f>Roster!A225</f>
        <v/>
      </c>
      <c r="B225" s="28">
        <f>Roster!C225</f>
        <v>0</v>
      </c>
      <c r="C225" s="55"/>
      <c r="D225" s="56"/>
      <c r="E225" s="57"/>
      <c r="F225" s="57"/>
      <c r="G225" s="57"/>
      <c r="H225" s="57"/>
      <c r="I225" s="57"/>
      <c r="J225" s="57"/>
      <c r="K225" s="45"/>
      <c r="L225" s="58"/>
      <c r="M225" s="56"/>
      <c r="N225" s="57"/>
      <c r="O225" s="57"/>
      <c r="P225" s="57"/>
      <c r="Q225" s="57"/>
      <c r="R225" s="57"/>
      <c r="S225" s="57"/>
      <c r="T225" s="45"/>
      <c r="U225" s="71"/>
      <c r="V225" s="57"/>
      <c r="W225" s="57"/>
      <c r="X225" s="57"/>
      <c r="Y225" s="57"/>
      <c r="Z225" s="57"/>
      <c r="AA225" s="57"/>
      <c r="AB225" s="57"/>
      <c r="AC225" s="57"/>
      <c r="AD225" s="71"/>
      <c r="AE225" s="57"/>
      <c r="AF225" s="57"/>
      <c r="AG225" s="57"/>
      <c r="AH225" s="57"/>
      <c r="AI225" s="57"/>
      <c r="AJ225" s="57"/>
      <c r="AK225" s="57"/>
      <c r="AL225" s="57"/>
      <c r="AM225" s="71"/>
      <c r="AN225" s="57"/>
      <c r="AO225" s="57"/>
      <c r="AP225" s="57"/>
      <c r="AQ225" s="57"/>
      <c r="AR225" s="57"/>
      <c r="AS225" s="57"/>
      <c r="AT225" s="57"/>
      <c r="AU225" s="57"/>
      <c r="AV225" s="71"/>
      <c r="AW225" s="57"/>
      <c r="AX225" s="55"/>
      <c r="AY225" s="55"/>
      <c r="AZ225" s="55"/>
      <c r="BA225" s="55"/>
      <c r="BB225" s="55"/>
      <c r="BC225" s="55"/>
      <c r="BD225" s="57"/>
      <c r="BE225" s="65"/>
      <c r="BF225" s="55"/>
      <c r="BG225" s="55"/>
      <c r="BH225" s="55"/>
      <c r="BI225" s="55"/>
      <c r="BJ225" s="55"/>
      <c r="BK225" s="55"/>
      <c r="BL225" s="55"/>
      <c r="BM225" s="55"/>
    </row>
    <row r="226" spans="1:65">
      <c r="A226" s="12" t="str">
        <f>Roster!A226</f>
        <v/>
      </c>
      <c r="B226" s="28">
        <f>Roster!C226</f>
        <v>0</v>
      </c>
      <c r="C226" s="55"/>
      <c r="D226" s="56"/>
      <c r="E226" s="57"/>
      <c r="F226" s="57"/>
      <c r="G226" s="57"/>
      <c r="H226" s="57"/>
      <c r="I226" s="57"/>
      <c r="J226" s="57"/>
      <c r="K226" s="45"/>
      <c r="L226" s="58"/>
      <c r="M226" s="56"/>
      <c r="N226" s="57"/>
      <c r="O226" s="57"/>
      <c r="P226" s="57"/>
      <c r="Q226" s="57"/>
      <c r="R226" s="57"/>
      <c r="S226" s="57"/>
      <c r="T226" s="45"/>
      <c r="U226" s="71"/>
      <c r="V226" s="57"/>
      <c r="W226" s="57"/>
      <c r="X226" s="57"/>
      <c r="Y226" s="57"/>
      <c r="Z226" s="57"/>
      <c r="AA226" s="57"/>
      <c r="AB226" s="57"/>
      <c r="AC226" s="57"/>
      <c r="AD226" s="71"/>
      <c r="AE226" s="57"/>
      <c r="AF226" s="57"/>
      <c r="AG226" s="57"/>
      <c r="AH226" s="57"/>
      <c r="AI226" s="57"/>
      <c r="AJ226" s="57"/>
      <c r="AK226" s="57"/>
      <c r="AL226" s="57"/>
      <c r="AM226" s="71"/>
      <c r="AN226" s="57"/>
      <c r="AO226" s="57"/>
      <c r="AP226" s="57"/>
      <c r="AQ226" s="57"/>
      <c r="AR226" s="57"/>
      <c r="AS226" s="57"/>
      <c r="AT226" s="57"/>
      <c r="AU226" s="57"/>
      <c r="AV226" s="71"/>
      <c r="AW226" s="57"/>
      <c r="AX226" s="55"/>
      <c r="AY226" s="55"/>
      <c r="AZ226" s="55"/>
      <c r="BA226" s="55"/>
      <c r="BB226" s="55"/>
      <c r="BC226" s="55"/>
      <c r="BD226" s="57"/>
      <c r="BE226" s="65"/>
      <c r="BF226" s="55"/>
      <c r="BG226" s="55"/>
      <c r="BH226" s="55"/>
      <c r="BI226" s="55"/>
      <c r="BJ226" s="55"/>
      <c r="BK226" s="55"/>
      <c r="BL226" s="55"/>
      <c r="BM226" s="55"/>
    </row>
    <row r="227" spans="1:65">
      <c r="A227" s="12" t="str">
        <f>Roster!A227</f>
        <v/>
      </c>
      <c r="B227" s="28">
        <f>Roster!C227</f>
        <v>0</v>
      </c>
      <c r="C227" s="55"/>
      <c r="D227" s="56"/>
      <c r="E227" s="57"/>
      <c r="F227" s="57"/>
      <c r="G227" s="57"/>
      <c r="H227" s="57"/>
      <c r="I227" s="57"/>
      <c r="J227" s="57"/>
      <c r="K227" s="45"/>
      <c r="L227" s="58"/>
      <c r="M227" s="56"/>
      <c r="N227" s="57"/>
      <c r="O227" s="57"/>
      <c r="P227" s="57"/>
      <c r="Q227" s="57"/>
      <c r="R227" s="57"/>
      <c r="S227" s="57"/>
      <c r="T227" s="45"/>
      <c r="U227" s="71"/>
      <c r="V227" s="57"/>
      <c r="W227" s="57"/>
      <c r="X227" s="57"/>
      <c r="Y227" s="57"/>
      <c r="Z227" s="57"/>
      <c r="AA227" s="57"/>
      <c r="AB227" s="57"/>
      <c r="AC227" s="57"/>
      <c r="AD227" s="71"/>
      <c r="AE227" s="57"/>
      <c r="AF227" s="57"/>
      <c r="AG227" s="57"/>
      <c r="AH227" s="57"/>
      <c r="AI227" s="57"/>
      <c r="AJ227" s="57"/>
      <c r="AK227" s="57"/>
      <c r="AL227" s="57"/>
      <c r="AM227" s="71"/>
      <c r="AN227" s="57"/>
      <c r="AO227" s="57"/>
      <c r="AP227" s="57"/>
      <c r="AQ227" s="57"/>
      <c r="AR227" s="57"/>
      <c r="AS227" s="57"/>
      <c r="AT227" s="57"/>
      <c r="AU227" s="57"/>
      <c r="AV227" s="71"/>
      <c r="AW227" s="57"/>
      <c r="AX227" s="55"/>
      <c r="AY227" s="55"/>
      <c r="AZ227" s="55"/>
      <c r="BA227" s="55"/>
      <c r="BB227" s="55"/>
      <c r="BC227" s="55"/>
      <c r="BD227" s="57"/>
      <c r="BE227" s="65"/>
      <c r="BF227" s="55"/>
      <c r="BG227" s="55"/>
      <c r="BH227" s="55"/>
      <c r="BI227" s="55"/>
      <c r="BJ227" s="55"/>
      <c r="BK227" s="55"/>
      <c r="BL227" s="55"/>
      <c r="BM227" s="55"/>
    </row>
    <row r="228" spans="1:65">
      <c r="A228" s="12" t="str">
        <f>Roster!A228</f>
        <v/>
      </c>
      <c r="B228" s="28">
        <f>Roster!C228</f>
        <v>0</v>
      </c>
      <c r="C228" s="55"/>
      <c r="D228" s="56"/>
      <c r="E228" s="57"/>
      <c r="F228" s="57"/>
      <c r="G228" s="57"/>
      <c r="H228" s="57"/>
      <c r="I228" s="57"/>
      <c r="J228" s="57"/>
      <c r="K228" s="45"/>
      <c r="L228" s="58"/>
      <c r="M228" s="56"/>
      <c r="N228" s="57"/>
      <c r="O228" s="57"/>
      <c r="P228" s="57"/>
      <c r="Q228" s="57"/>
      <c r="R228" s="57"/>
      <c r="S228" s="57"/>
      <c r="T228" s="45"/>
      <c r="U228" s="71"/>
      <c r="V228" s="57"/>
      <c r="W228" s="57"/>
      <c r="X228" s="57"/>
      <c r="Y228" s="57"/>
      <c r="Z228" s="57"/>
      <c r="AA228" s="57"/>
      <c r="AB228" s="57"/>
      <c r="AC228" s="57"/>
      <c r="AD228" s="71"/>
      <c r="AE228" s="57"/>
      <c r="AF228" s="57"/>
      <c r="AG228" s="57"/>
      <c r="AH228" s="57"/>
      <c r="AI228" s="57"/>
      <c r="AJ228" s="57"/>
      <c r="AK228" s="57"/>
      <c r="AL228" s="57"/>
      <c r="AM228" s="71"/>
      <c r="AN228" s="57"/>
      <c r="AO228" s="57"/>
      <c r="AP228" s="57"/>
      <c r="AQ228" s="57"/>
      <c r="AR228" s="57"/>
      <c r="AS228" s="57"/>
      <c r="AT228" s="57"/>
      <c r="AU228" s="57"/>
      <c r="AV228" s="71"/>
      <c r="AW228" s="57"/>
      <c r="AX228" s="55"/>
      <c r="AY228" s="55"/>
      <c r="AZ228" s="55"/>
      <c r="BA228" s="55"/>
      <c r="BB228" s="55"/>
      <c r="BC228" s="55"/>
      <c r="BD228" s="57"/>
      <c r="BE228" s="65"/>
      <c r="BF228" s="55"/>
      <c r="BG228" s="55"/>
      <c r="BH228" s="55"/>
      <c r="BI228" s="55"/>
      <c r="BJ228" s="55"/>
      <c r="BK228" s="55"/>
      <c r="BL228" s="55"/>
      <c r="BM228" s="55"/>
    </row>
    <row r="229" spans="1:65">
      <c r="A229" s="12" t="str">
        <f>Roster!A229</f>
        <v/>
      </c>
      <c r="B229" s="28">
        <f>Roster!C229</f>
        <v>0</v>
      </c>
      <c r="C229" s="55"/>
      <c r="D229" s="56"/>
      <c r="E229" s="57"/>
      <c r="F229" s="57"/>
      <c r="G229" s="57"/>
      <c r="H229" s="57"/>
      <c r="I229" s="57"/>
      <c r="J229" s="57"/>
      <c r="K229" s="45"/>
      <c r="L229" s="58"/>
      <c r="M229" s="56"/>
      <c r="N229" s="57"/>
      <c r="O229" s="57"/>
      <c r="P229" s="57"/>
      <c r="Q229" s="57"/>
      <c r="R229" s="57"/>
      <c r="S229" s="57"/>
      <c r="T229" s="45"/>
      <c r="U229" s="71"/>
      <c r="V229" s="57"/>
      <c r="W229" s="57"/>
      <c r="X229" s="57"/>
      <c r="Y229" s="57"/>
      <c r="Z229" s="57"/>
      <c r="AA229" s="57"/>
      <c r="AB229" s="57"/>
      <c r="AC229" s="57"/>
      <c r="AD229" s="71"/>
      <c r="AE229" s="57"/>
      <c r="AF229" s="57"/>
      <c r="AG229" s="57"/>
      <c r="AH229" s="57"/>
      <c r="AI229" s="57"/>
      <c r="AJ229" s="57"/>
      <c r="AK229" s="57"/>
      <c r="AL229" s="57"/>
      <c r="AM229" s="71"/>
      <c r="AN229" s="57"/>
      <c r="AO229" s="57"/>
      <c r="AP229" s="57"/>
      <c r="AQ229" s="57"/>
      <c r="AR229" s="57"/>
      <c r="AS229" s="57"/>
      <c r="AT229" s="57"/>
      <c r="AU229" s="57"/>
      <c r="AV229" s="71"/>
      <c r="AW229" s="57"/>
      <c r="AX229" s="55"/>
      <c r="AY229" s="55"/>
      <c r="AZ229" s="55"/>
      <c r="BA229" s="55"/>
      <c r="BB229" s="55"/>
      <c r="BC229" s="55"/>
      <c r="BD229" s="57"/>
      <c r="BE229" s="65"/>
      <c r="BF229" s="55"/>
      <c r="BG229" s="55"/>
      <c r="BH229" s="55"/>
      <c r="BI229" s="55"/>
      <c r="BJ229" s="55"/>
      <c r="BK229" s="55"/>
      <c r="BL229" s="55"/>
      <c r="BM229" s="55"/>
    </row>
    <row r="230" spans="1:65">
      <c r="A230" s="12" t="str">
        <f>Roster!A230</f>
        <v/>
      </c>
      <c r="B230" s="28">
        <f>Roster!C230</f>
        <v>0</v>
      </c>
      <c r="C230" s="55"/>
      <c r="D230" s="56"/>
      <c r="E230" s="57"/>
      <c r="F230" s="57"/>
      <c r="G230" s="57"/>
      <c r="H230" s="57"/>
      <c r="I230" s="57"/>
      <c r="J230" s="57"/>
      <c r="K230" s="45"/>
      <c r="L230" s="58"/>
      <c r="M230" s="56"/>
      <c r="N230" s="57"/>
      <c r="O230" s="57"/>
      <c r="P230" s="57"/>
      <c r="Q230" s="57"/>
      <c r="R230" s="57"/>
      <c r="S230" s="57"/>
      <c r="T230" s="45"/>
      <c r="U230" s="71"/>
      <c r="V230" s="57"/>
      <c r="W230" s="57"/>
      <c r="X230" s="57"/>
      <c r="Y230" s="57"/>
      <c r="Z230" s="57"/>
      <c r="AA230" s="57"/>
      <c r="AB230" s="57"/>
      <c r="AC230" s="57"/>
      <c r="AD230" s="71"/>
      <c r="AE230" s="57"/>
      <c r="AF230" s="57"/>
      <c r="AG230" s="57"/>
      <c r="AH230" s="57"/>
      <c r="AI230" s="57"/>
      <c r="AJ230" s="57"/>
      <c r="AK230" s="57"/>
      <c r="AL230" s="57"/>
      <c r="AM230" s="71"/>
      <c r="AN230" s="57"/>
      <c r="AO230" s="57"/>
      <c r="AP230" s="57"/>
      <c r="AQ230" s="57"/>
      <c r="AR230" s="57"/>
      <c r="AS230" s="57"/>
      <c r="AT230" s="57"/>
      <c r="AU230" s="57"/>
      <c r="AV230" s="71"/>
      <c r="AW230" s="57"/>
      <c r="AX230" s="55"/>
      <c r="AY230" s="55"/>
      <c r="AZ230" s="55"/>
      <c r="BA230" s="55"/>
      <c r="BB230" s="55"/>
      <c r="BC230" s="55"/>
      <c r="BD230" s="57"/>
      <c r="BE230" s="65"/>
      <c r="BF230" s="55"/>
      <c r="BG230" s="55"/>
      <c r="BH230" s="55"/>
      <c r="BI230" s="55"/>
      <c r="BJ230" s="55"/>
      <c r="BK230" s="55"/>
      <c r="BL230" s="55"/>
      <c r="BM230" s="55"/>
    </row>
    <row r="231" spans="1:65">
      <c r="A231" s="12" t="str">
        <f>Roster!A231</f>
        <v/>
      </c>
      <c r="B231" s="28">
        <f>Roster!C231</f>
        <v>0</v>
      </c>
      <c r="C231" s="55"/>
      <c r="D231" s="56"/>
      <c r="E231" s="57"/>
      <c r="F231" s="57"/>
      <c r="G231" s="57"/>
      <c r="H231" s="57"/>
      <c r="I231" s="57"/>
      <c r="J231" s="57"/>
      <c r="K231" s="45"/>
      <c r="L231" s="58"/>
      <c r="M231" s="56"/>
      <c r="N231" s="57"/>
      <c r="O231" s="57"/>
      <c r="P231" s="57"/>
      <c r="Q231" s="57"/>
      <c r="R231" s="57"/>
      <c r="S231" s="57"/>
      <c r="T231" s="45"/>
      <c r="U231" s="71"/>
      <c r="V231" s="57"/>
      <c r="W231" s="57"/>
      <c r="X231" s="57"/>
      <c r="Y231" s="57"/>
      <c r="Z231" s="57"/>
      <c r="AA231" s="57"/>
      <c r="AB231" s="57"/>
      <c r="AC231" s="57"/>
      <c r="AD231" s="71"/>
      <c r="AE231" s="57"/>
      <c r="AF231" s="57"/>
      <c r="AG231" s="57"/>
      <c r="AH231" s="57"/>
      <c r="AI231" s="57"/>
      <c r="AJ231" s="57"/>
      <c r="AK231" s="57"/>
      <c r="AL231" s="57"/>
      <c r="AM231" s="71"/>
      <c r="AN231" s="57"/>
      <c r="AO231" s="57"/>
      <c r="AP231" s="57"/>
      <c r="AQ231" s="57"/>
      <c r="AR231" s="57"/>
      <c r="AS231" s="57"/>
      <c r="AT231" s="57"/>
      <c r="AU231" s="57"/>
      <c r="AV231" s="71"/>
      <c r="AW231" s="57"/>
      <c r="AX231" s="55"/>
      <c r="AY231" s="55"/>
      <c r="AZ231" s="55"/>
      <c r="BA231" s="55"/>
      <c r="BB231" s="55"/>
      <c r="BC231" s="55"/>
      <c r="BD231" s="57"/>
      <c r="BE231" s="65"/>
      <c r="BF231" s="55"/>
      <c r="BG231" s="55"/>
      <c r="BH231" s="55"/>
      <c r="BI231" s="55"/>
      <c r="BJ231" s="55"/>
      <c r="BK231" s="55"/>
      <c r="BL231" s="55"/>
      <c r="BM231" s="55"/>
    </row>
    <row r="232" spans="1:65">
      <c r="A232" s="12" t="str">
        <f>Roster!A232</f>
        <v/>
      </c>
      <c r="B232" s="28">
        <f>Roster!C232</f>
        <v>0</v>
      </c>
      <c r="C232" s="55"/>
      <c r="D232" s="56"/>
      <c r="E232" s="57"/>
      <c r="F232" s="57"/>
      <c r="G232" s="57"/>
      <c r="H232" s="57"/>
      <c r="I232" s="57"/>
      <c r="J232" s="57"/>
      <c r="K232" s="45"/>
      <c r="L232" s="58"/>
      <c r="M232" s="56"/>
      <c r="N232" s="57"/>
      <c r="O232" s="57"/>
      <c r="P232" s="57"/>
      <c r="Q232" s="57"/>
      <c r="R232" s="57"/>
      <c r="S232" s="57"/>
      <c r="T232" s="45"/>
      <c r="U232" s="71"/>
      <c r="V232" s="57"/>
      <c r="W232" s="57"/>
      <c r="X232" s="57"/>
      <c r="Y232" s="57"/>
      <c r="Z232" s="57"/>
      <c r="AA232" s="57"/>
      <c r="AB232" s="57"/>
      <c r="AC232" s="57"/>
      <c r="AD232" s="71"/>
      <c r="AE232" s="57"/>
      <c r="AF232" s="57"/>
      <c r="AG232" s="57"/>
      <c r="AH232" s="57"/>
      <c r="AI232" s="57"/>
      <c r="AJ232" s="57"/>
      <c r="AK232" s="57"/>
      <c r="AL232" s="57"/>
      <c r="AM232" s="71"/>
      <c r="AN232" s="57"/>
      <c r="AO232" s="57"/>
      <c r="AP232" s="57"/>
      <c r="AQ232" s="57"/>
      <c r="AR232" s="57"/>
      <c r="AS232" s="57"/>
      <c r="AT232" s="57"/>
      <c r="AU232" s="57"/>
      <c r="AV232" s="71"/>
      <c r="AW232" s="57"/>
      <c r="AX232" s="55"/>
      <c r="AY232" s="55"/>
      <c r="AZ232" s="55"/>
      <c r="BA232" s="55"/>
      <c r="BB232" s="55"/>
      <c r="BC232" s="55"/>
      <c r="BD232" s="57"/>
      <c r="BE232" s="65"/>
      <c r="BF232" s="55"/>
      <c r="BG232" s="55"/>
      <c r="BH232" s="55"/>
      <c r="BI232" s="55"/>
      <c r="BJ232" s="55"/>
      <c r="BK232" s="55"/>
      <c r="BL232" s="55"/>
      <c r="BM232" s="55"/>
    </row>
    <row r="233" spans="1:65">
      <c r="A233" s="12" t="str">
        <f>Roster!A233</f>
        <v/>
      </c>
      <c r="B233" s="28">
        <f>Roster!C233</f>
        <v>0</v>
      </c>
      <c r="C233" s="55"/>
      <c r="D233" s="56"/>
      <c r="E233" s="57"/>
      <c r="F233" s="57"/>
      <c r="G233" s="57"/>
      <c r="H233" s="57"/>
      <c r="I233" s="57"/>
      <c r="J233" s="57"/>
      <c r="K233" s="45"/>
      <c r="L233" s="58"/>
      <c r="M233" s="56"/>
      <c r="N233" s="57"/>
      <c r="O233" s="57"/>
      <c r="P233" s="57"/>
      <c r="Q233" s="57"/>
      <c r="R233" s="57"/>
      <c r="S233" s="57"/>
      <c r="T233" s="45"/>
      <c r="U233" s="71"/>
      <c r="V233" s="57"/>
      <c r="W233" s="57"/>
      <c r="X233" s="57"/>
      <c r="Y233" s="57"/>
      <c r="Z233" s="57"/>
      <c r="AA233" s="57"/>
      <c r="AB233" s="57"/>
      <c r="AC233" s="57"/>
      <c r="AD233" s="71"/>
      <c r="AE233" s="57"/>
      <c r="AF233" s="57"/>
      <c r="AG233" s="57"/>
      <c r="AH233" s="57"/>
      <c r="AI233" s="57"/>
      <c r="AJ233" s="57"/>
      <c r="AK233" s="57"/>
      <c r="AL233" s="57"/>
      <c r="AM233" s="71"/>
      <c r="AN233" s="57"/>
      <c r="AO233" s="57"/>
      <c r="AP233" s="57"/>
      <c r="AQ233" s="57"/>
      <c r="AR233" s="57"/>
      <c r="AS233" s="57"/>
      <c r="AT233" s="57"/>
      <c r="AU233" s="57"/>
      <c r="AV233" s="71"/>
      <c r="AW233" s="57"/>
      <c r="AX233" s="55"/>
      <c r="AY233" s="55"/>
      <c r="AZ233" s="55"/>
      <c r="BA233" s="55"/>
      <c r="BB233" s="55"/>
      <c r="BC233" s="55"/>
      <c r="BD233" s="57"/>
      <c r="BE233" s="65"/>
      <c r="BF233" s="55"/>
      <c r="BG233" s="55"/>
      <c r="BH233" s="55"/>
      <c r="BI233" s="55"/>
      <c r="BJ233" s="55"/>
      <c r="BK233" s="55"/>
      <c r="BL233" s="55"/>
      <c r="BM233" s="55"/>
    </row>
    <row r="234" spans="1:65">
      <c r="A234" s="12" t="str">
        <f>Roster!A234</f>
        <v/>
      </c>
      <c r="B234" s="28">
        <f>Roster!C234</f>
        <v>0</v>
      </c>
      <c r="C234" s="55"/>
      <c r="D234" s="56"/>
      <c r="E234" s="57"/>
      <c r="F234" s="57"/>
      <c r="G234" s="57"/>
      <c r="H234" s="57"/>
      <c r="I234" s="57"/>
      <c r="J234" s="57"/>
      <c r="K234" s="45"/>
      <c r="L234" s="58"/>
      <c r="M234" s="56"/>
      <c r="N234" s="57"/>
      <c r="O234" s="57"/>
      <c r="P234" s="57"/>
      <c r="Q234" s="57"/>
      <c r="R234" s="57"/>
      <c r="S234" s="57"/>
      <c r="T234" s="45"/>
      <c r="U234" s="71"/>
      <c r="V234" s="57"/>
      <c r="W234" s="57"/>
      <c r="X234" s="57"/>
      <c r="Y234" s="57"/>
      <c r="Z234" s="57"/>
      <c r="AA234" s="57"/>
      <c r="AB234" s="57"/>
      <c r="AC234" s="57"/>
      <c r="AD234" s="71"/>
      <c r="AE234" s="57"/>
      <c r="AF234" s="57"/>
      <c r="AG234" s="57"/>
      <c r="AH234" s="57"/>
      <c r="AI234" s="57"/>
      <c r="AJ234" s="57"/>
      <c r="AK234" s="57"/>
      <c r="AL234" s="57"/>
      <c r="AM234" s="71"/>
      <c r="AN234" s="57"/>
      <c r="AO234" s="57"/>
      <c r="AP234" s="57"/>
      <c r="AQ234" s="57"/>
      <c r="AR234" s="57"/>
      <c r="AS234" s="57"/>
      <c r="AT234" s="57"/>
      <c r="AU234" s="57"/>
      <c r="AV234" s="71"/>
      <c r="AW234" s="57"/>
      <c r="AX234" s="55"/>
      <c r="AY234" s="55"/>
      <c r="AZ234" s="55"/>
      <c r="BA234" s="55"/>
      <c r="BB234" s="55"/>
      <c r="BC234" s="55"/>
      <c r="BD234" s="57"/>
      <c r="BE234" s="65"/>
      <c r="BF234" s="55"/>
      <c r="BG234" s="55"/>
      <c r="BH234" s="55"/>
      <c r="BI234" s="55"/>
      <c r="BJ234" s="55"/>
      <c r="BK234" s="55"/>
      <c r="BL234" s="55"/>
      <c r="BM234" s="55"/>
    </row>
    <row r="235" spans="1:65">
      <c r="A235" s="12" t="str">
        <f>Roster!A235</f>
        <v/>
      </c>
      <c r="B235" s="28">
        <f>Roster!C235</f>
        <v>0</v>
      </c>
      <c r="C235" s="55"/>
      <c r="D235" s="56"/>
      <c r="E235" s="57"/>
      <c r="F235" s="57"/>
      <c r="G235" s="57"/>
      <c r="H235" s="57"/>
      <c r="I235" s="57"/>
      <c r="J235" s="57"/>
      <c r="K235" s="45"/>
      <c r="L235" s="58"/>
      <c r="M235" s="56"/>
      <c r="N235" s="57"/>
      <c r="O235" s="57"/>
      <c r="P235" s="57"/>
      <c r="Q235" s="57"/>
      <c r="R235" s="57"/>
      <c r="S235" s="57"/>
      <c r="T235" s="45"/>
      <c r="U235" s="71"/>
      <c r="V235" s="57"/>
      <c r="W235" s="57"/>
      <c r="X235" s="57"/>
      <c r="Y235" s="57"/>
      <c r="Z235" s="57"/>
      <c r="AA235" s="57"/>
      <c r="AB235" s="57"/>
      <c r="AC235" s="57"/>
      <c r="AD235" s="71"/>
      <c r="AE235" s="57"/>
      <c r="AF235" s="57"/>
      <c r="AG235" s="57"/>
      <c r="AH235" s="57"/>
      <c r="AI235" s="57"/>
      <c r="AJ235" s="57"/>
      <c r="AK235" s="57"/>
      <c r="AL235" s="57"/>
      <c r="AM235" s="71"/>
      <c r="AN235" s="57"/>
      <c r="AO235" s="57"/>
      <c r="AP235" s="57"/>
      <c r="AQ235" s="57"/>
      <c r="AR235" s="57"/>
      <c r="AS235" s="57"/>
      <c r="AT235" s="57"/>
      <c r="AU235" s="57"/>
      <c r="AV235" s="71"/>
      <c r="AW235" s="57"/>
      <c r="AX235" s="55"/>
      <c r="AY235" s="55"/>
      <c r="AZ235" s="55"/>
      <c r="BA235" s="55"/>
      <c r="BB235" s="55"/>
      <c r="BC235" s="55"/>
      <c r="BD235" s="57"/>
      <c r="BE235" s="65"/>
      <c r="BF235" s="55"/>
      <c r="BG235" s="55"/>
      <c r="BH235" s="55"/>
      <c r="BI235" s="55"/>
      <c r="BJ235" s="55"/>
      <c r="BK235" s="55"/>
      <c r="BL235" s="55"/>
      <c r="BM235" s="55"/>
    </row>
    <row r="236" spans="1:65">
      <c r="A236" s="12" t="str">
        <f>Roster!A236</f>
        <v/>
      </c>
      <c r="B236" s="28">
        <f>Roster!C236</f>
        <v>0</v>
      </c>
      <c r="C236" s="55"/>
      <c r="D236" s="56"/>
      <c r="E236" s="57"/>
      <c r="F236" s="57"/>
      <c r="G236" s="57"/>
      <c r="H236" s="57"/>
      <c r="I236" s="57"/>
      <c r="J236" s="57"/>
      <c r="K236" s="45"/>
      <c r="L236" s="58"/>
      <c r="M236" s="56"/>
      <c r="N236" s="57"/>
      <c r="O236" s="57"/>
      <c r="P236" s="57"/>
      <c r="Q236" s="57"/>
      <c r="R236" s="57"/>
      <c r="S236" s="57"/>
      <c r="T236" s="45"/>
      <c r="U236" s="71"/>
      <c r="V236" s="57"/>
      <c r="W236" s="57"/>
      <c r="X236" s="57"/>
      <c r="Y236" s="57"/>
      <c r="Z236" s="57"/>
      <c r="AA236" s="57"/>
      <c r="AB236" s="57"/>
      <c r="AC236" s="57"/>
      <c r="AD236" s="71"/>
      <c r="AE236" s="57"/>
      <c r="AF236" s="57"/>
      <c r="AG236" s="57"/>
      <c r="AH236" s="57"/>
      <c r="AI236" s="57"/>
      <c r="AJ236" s="57"/>
      <c r="AK236" s="57"/>
      <c r="AL236" s="57"/>
      <c r="AM236" s="71"/>
      <c r="AN236" s="57"/>
      <c r="AO236" s="57"/>
      <c r="AP236" s="57"/>
      <c r="AQ236" s="57"/>
      <c r="AR236" s="57"/>
      <c r="AS236" s="57"/>
      <c r="AT236" s="57"/>
      <c r="AU236" s="57"/>
      <c r="AV236" s="71"/>
      <c r="AW236" s="57"/>
      <c r="AX236" s="55"/>
      <c r="AY236" s="55"/>
      <c r="AZ236" s="55"/>
      <c r="BA236" s="55"/>
      <c r="BB236" s="55"/>
      <c r="BC236" s="55"/>
      <c r="BD236" s="57"/>
      <c r="BE236" s="65"/>
      <c r="BF236" s="55"/>
      <c r="BG236" s="55"/>
      <c r="BH236" s="55"/>
      <c r="BI236" s="55"/>
      <c r="BJ236" s="55"/>
      <c r="BK236" s="55"/>
      <c r="BL236" s="55"/>
      <c r="BM236" s="55"/>
    </row>
    <row r="237" spans="1:65">
      <c r="A237" s="12" t="str">
        <f>Roster!A237</f>
        <v/>
      </c>
      <c r="B237" s="28">
        <f>Roster!C237</f>
        <v>0</v>
      </c>
      <c r="C237" s="55"/>
      <c r="D237" s="56"/>
      <c r="E237" s="57"/>
      <c r="F237" s="57"/>
      <c r="G237" s="57"/>
      <c r="H237" s="57"/>
      <c r="I237" s="57"/>
      <c r="J237" s="57"/>
      <c r="K237" s="45"/>
      <c r="L237" s="58"/>
      <c r="M237" s="56"/>
      <c r="N237" s="57"/>
      <c r="O237" s="57"/>
      <c r="P237" s="57"/>
      <c r="Q237" s="57"/>
      <c r="R237" s="57"/>
      <c r="S237" s="57"/>
      <c r="T237" s="45"/>
      <c r="U237" s="71"/>
      <c r="V237" s="57"/>
      <c r="W237" s="57"/>
      <c r="X237" s="57"/>
      <c r="Y237" s="57"/>
      <c r="Z237" s="57"/>
      <c r="AA237" s="57"/>
      <c r="AB237" s="57"/>
      <c r="AC237" s="57"/>
      <c r="AD237" s="71"/>
      <c r="AE237" s="57"/>
      <c r="AF237" s="57"/>
      <c r="AG237" s="57"/>
      <c r="AH237" s="57"/>
      <c r="AI237" s="57"/>
      <c r="AJ237" s="57"/>
      <c r="AK237" s="57"/>
      <c r="AL237" s="57"/>
      <c r="AM237" s="71"/>
      <c r="AN237" s="57"/>
      <c r="AO237" s="57"/>
      <c r="AP237" s="57"/>
      <c r="AQ237" s="57"/>
      <c r="AR237" s="57"/>
      <c r="AS237" s="57"/>
      <c r="AT237" s="57"/>
      <c r="AU237" s="57"/>
      <c r="AV237" s="71"/>
      <c r="AW237" s="57"/>
      <c r="AX237" s="55"/>
      <c r="AY237" s="55"/>
      <c r="AZ237" s="55"/>
      <c r="BA237" s="55"/>
      <c r="BB237" s="55"/>
      <c r="BC237" s="55"/>
      <c r="BD237" s="57"/>
      <c r="BE237" s="65"/>
      <c r="BF237" s="55"/>
      <c r="BG237" s="55"/>
      <c r="BH237" s="55"/>
      <c r="BI237" s="55"/>
      <c r="BJ237" s="55"/>
      <c r="BK237" s="55"/>
      <c r="BL237" s="55"/>
      <c r="BM237" s="55"/>
    </row>
    <row r="238" spans="1:65">
      <c r="A238" s="12" t="str">
        <f>Roster!A238</f>
        <v/>
      </c>
      <c r="B238" s="28">
        <f>Roster!C238</f>
        <v>0</v>
      </c>
      <c r="C238" s="55"/>
      <c r="D238" s="56"/>
      <c r="E238" s="57"/>
      <c r="F238" s="57"/>
      <c r="G238" s="57"/>
      <c r="H238" s="57"/>
      <c r="I238" s="57"/>
      <c r="J238" s="57"/>
      <c r="K238" s="45"/>
      <c r="L238" s="58"/>
      <c r="M238" s="56"/>
      <c r="N238" s="57"/>
      <c r="O238" s="57"/>
      <c r="P238" s="57"/>
      <c r="Q238" s="57"/>
      <c r="R238" s="57"/>
      <c r="S238" s="57"/>
      <c r="T238" s="45"/>
      <c r="U238" s="71"/>
      <c r="V238" s="57"/>
      <c r="W238" s="57"/>
      <c r="X238" s="57"/>
      <c r="Y238" s="57"/>
      <c r="Z238" s="57"/>
      <c r="AA238" s="57"/>
      <c r="AB238" s="57"/>
      <c r="AC238" s="57"/>
      <c r="AD238" s="71"/>
      <c r="AE238" s="57"/>
      <c r="AF238" s="57"/>
      <c r="AG238" s="57"/>
      <c r="AH238" s="57"/>
      <c r="AI238" s="57"/>
      <c r="AJ238" s="57"/>
      <c r="AK238" s="57"/>
      <c r="AL238" s="57"/>
      <c r="AM238" s="71"/>
      <c r="AN238" s="57"/>
      <c r="AO238" s="57"/>
      <c r="AP238" s="57"/>
      <c r="AQ238" s="57"/>
      <c r="AR238" s="57"/>
      <c r="AS238" s="57"/>
      <c r="AT238" s="57"/>
      <c r="AU238" s="57"/>
      <c r="AV238" s="71"/>
      <c r="AW238" s="57"/>
      <c r="AX238" s="55"/>
      <c r="AY238" s="55"/>
      <c r="AZ238" s="55"/>
      <c r="BA238" s="55"/>
      <c r="BB238" s="55"/>
      <c r="BC238" s="55"/>
      <c r="BD238" s="57"/>
      <c r="BE238" s="65"/>
      <c r="BF238" s="55"/>
      <c r="BG238" s="55"/>
      <c r="BH238" s="55"/>
      <c r="BI238" s="55"/>
      <c r="BJ238" s="55"/>
      <c r="BK238" s="55"/>
      <c r="BL238" s="55"/>
      <c r="BM238" s="55"/>
    </row>
    <row r="239" spans="1:65">
      <c r="A239" s="12" t="str">
        <f>Roster!A239</f>
        <v/>
      </c>
      <c r="B239" s="28">
        <f>Roster!C239</f>
        <v>0</v>
      </c>
      <c r="C239" s="55"/>
      <c r="D239" s="56"/>
      <c r="E239" s="57"/>
      <c r="F239" s="57"/>
      <c r="G239" s="57"/>
      <c r="H239" s="57"/>
      <c r="I239" s="57"/>
      <c r="J239" s="57"/>
      <c r="K239" s="45"/>
      <c r="L239" s="58"/>
      <c r="M239" s="56"/>
      <c r="N239" s="57"/>
      <c r="O239" s="57"/>
      <c r="P239" s="57"/>
      <c r="Q239" s="57"/>
      <c r="R239" s="57"/>
      <c r="S239" s="57"/>
      <c r="T239" s="45"/>
      <c r="U239" s="71"/>
      <c r="V239" s="57"/>
      <c r="W239" s="57"/>
      <c r="X239" s="57"/>
      <c r="Y239" s="57"/>
      <c r="Z239" s="57"/>
      <c r="AA239" s="57"/>
      <c r="AB239" s="57"/>
      <c r="AC239" s="57"/>
      <c r="AD239" s="71"/>
      <c r="AE239" s="57"/>
      <c r="AF239" s="57"/>
      <c r="AG239" s="57"/>
      <c r="AH239" s="57"/>
      <c r="AI239" s="57"/>
      <c r="AJ239" s="57"/>
      <c r="AK239" s="57"/>
      <c r="AL239" s="57"/>
      <c r="AM239" s="71"/>
      <c r="AN239" s="57"/>
      <c r="AO239" s="57"/>
      <c r="AP239" s="57"/>
      <c r="AQ239" s="57"/>
      <c r="AR239" s="57"/>
      <c r="AS239" s="57"/>
      <c r="AT239" s="57"/>
      <c r="AU239" s="57"/>
      <c r="AV239" s="71"/>
      <c r="AW239" s="57"/>
      <c r="AX239" s="55"/>
      <c r="AY239" s="55"/>
      <c r="AZ239" s="55"/>
      <c r="BA239" s="55"/>
      <c r="BB239" s="55"/>
      <c r="BC239" s="55"/>
      <c r="BD239" s="57"/>
      <c r="BE239" s="65"/>
      <c r="BF239" s="55"/>
      <c r="BG239" s="55"/>
      <c r="BH239" s="55"/>
      <c r="BI239" s="55"/>
      <c r="BJ239" s="55"/>
      <c r="BK239" s="55"/>
      <c r="BL239" s="55"/>
      <c r="BM239" s="55"/>
    </row>
    <row r="240" spans="1:65">
      <c r="A240" s="12" t="str">
        <f>Roster!A240</f>
        <v/>
      </c>
      <c r="B240" s="28">
        <f>Roster!C240</f>
        <v>0</v>
      </c>
      <c r="C240" s="55"/>
      <c r="D240" s="56"/>
      <c r="E240" s="57"/>
      <c r="F240" s="57"/>
      <c r="G240" s="57"/>
      <c r="H240" s="57"/>
      <c r="I240" s="57"/>
      <c r="J240" s="57"/>
      <c r="K240" s="45"/>
      <c r="L240" s="58"/>
      <c r="M240" s="56"/>
      <c r="N240" s="57"/>
      <c r="O240" s="57"/>
      <c r="P240" s="57"/>
      <c r="Q240" s="57"/>
      <c r="R240" s="57"/>
      <c r="S240" s="57"/>
      <c r="T240" s="45"/>
      <c r="U240" s="71"/>
      <c r="V240" s="57"/>
      <c r="W240" s="57"/>
      <c r="X240" s="57"/>
      <c r="Y240" s="57"/>
      <c r="Z240" s="57"/>
      <c r="AA240" s="57"/>
      <c r="AB240" s="57"/>
      <c r="AC240" s="57"/>
      <c r="AD240" s="71"/>
      <c r="AE240" s="57"/>
      <c r="AF240" s="57"/>
      <c r="AG240" s="57"/>
      <c r="AH240" s="57"/>
      <c r="AI240" s="57"/>
      <c r="AJ240" s="57"/>
      <c r="AK240" s="57"/>
      <c r="AL240" s="57"/>
      <c r="AM240" s="71"/>
      <c r="AN240" s="57"/>
      <c r="AO240" s="57"/>
      <c r="AP240" s="57"/>
      <c r="AQ240" s="57"/>
      <c r="AR240" s="57"/>
      <c r="AS240" s="57"/>
      <c r="AT240" s="57"/>
      <c r="AU240" s="57"/>
      <c r="AV240" s="71"/>
      <c r="AW240" s="57"/>
      <c r="AX240" s="55"/>
      <c r="AY240" s="55"/>
      <c r="AZ240" s="55"/>
      <c r="BA240" s="55"/>
      <c r="BB240" s="55"/>
      <c r="BC240" s="55"/>
      <c r="BD240" s="57"/>
      <c r="BE240" s="65"/>
      <c r="BF240" s="55"/>
      <c r="BG240" s="55"/>
      <c r="BH240" s="55"/>
      <c r="BI240" s="55"/>
      <c r="BJ240" s="55"/>
      <c r="BK240" s="55"/>
      <c r="BL240" s="55"/>
      <c r="BM240" s="55"/>
    </row>
    <row r="241" spans="1:65">
      <c r="A241" s="12" t="str">
        <f>Roster!A241</f>
        <v/>
      </c>
      <c r="B241" s="28">
        <f>Roster!C241</f>
        <v>0</v>
      </c>
      <c r="C241" s="55"/>
      <c r="D241" s="56"/>
      <c r="E241" s="57"/>
      <c r="F241" s="57"/>
      <c r="G241" s="57"/>
      <c r="H241" s="57"/>
      <c r="I241" s="57"/>
      <c r="J241" s="57"/>
      <c r="K241" s="45"/>
      <c r="L241" s="58"/>
      <c r="M241" s="56"/>
      <c r="N241" s="57"/>
      <c r="O241" s="57"/>
      <c r="P241" s="57"/>
      <c r="Q241" s="57"/>
      <c r="R241" s="57"/>
      <c r="S241" s="57"/>
      <c r="T241" s="45"/>
      <c r="U241" s="71"/>
      <c r="V241" s="57"/>
      <c r="W241" s="57"/>
      <c r="X241" s="57"/>
      <c r="Y241" s="57"/>
      <c r="Z241" s="57"/>
      <c r="AA241" s="57"/>
      <c r="AB241" s="57"/>
      <c r="AC241" s="57"/>
      <c r="AD241" s="71"/>
      <c r="AE241" s="57"/>
      <c r="AF241" s="57"/>
      <c r="AG241" s="57"/>
      <c r="AH241" s="57"/>
      <c r="AI241" s="57"/>
      <c r="AJ241" s="57"/>
      <c r="AK241" s="57"/>
      <c r="AL241" s="57"/>
      <c r="AM241" s="71"/>
      <c r="AN241" s="57"/>
      <c r="AO241" s="57"/>
      <c r="AP241" s="57"/>
      <c r="AQ241" s="57"/>
      <c r="AR241" s="57"/>
      <c r="AS241" s="57"/>
      <c r="AT241" s="57"/>
      <c r="AU241" s="57"/>
      <c r="AV241" s="71"/>
      <c r="AW241" s="57"/>
      <c r="AX241" s="55"/>
      <c r="AY241" s="55"/>
      <c r="AZ241" s="55"/>
      <c r="BA241" s="55"/>
      <c r="BB241" s="55"/>
      <c r="BC241" s="55"/>
      <c r="BD241" s="57"/>
      <c r="BE241" s="65"/>
      <c r="BF241" s="55"/>
      <c r="BG241" s="55"/>
      <c r="BH241" s="55"/>
      <c r="BI241" s="55"/>
      <c r="BJ241" s="55"/>
      <c r="BK241" s="55"/>
      <c r="BL241" s="55"/>
      <c r="BM241" s="55"/>
    </row>
    <row r="242" spans="1:65">
      <c r="A242" s="12" t="str">
        <f>Roster!A242</f>
        <v/>
      </c>
      <c r="B242" s="28">
        <f>Roster!C242</f>
        <v>0</v>
      </c>
      <c r="C242" s="55"/>
      <c r="D242" s="56"/>
      <c r="E242" s="57"/>
      <c r="F242" s="57"/>
      <c r="G242" s="57"/>
      <c r="H242" s="57"/>
      <c r="I242" s="57"/>
      <c r="J242" s="57"/>
      <c r="K242" s="45"/>
      <c r="L242" s="58"/>
      <c r="M242" s="56"/>
      <c r="N242" s="57"/>
      <c r="O242" s="57"/>
      <c r="P242" s="57"/>
      <c r="Q242" s="57"/>
      <c r="R242" s="57"/>
      <c r="S242" s="57"/>
      <c r="T242" s="45"/>
      <c r="U242" s="71"/>
      <c r="V242" s="57"/>
      <c r="W242" s="57"/>
      <c r="X242" s="57"/>
      <c r="Y242" s="57"/>
      <c r="Z242" s="57"/>
      <c r="AA242" s="57"/>
      <c r="AB242" s="57"/>
      <c r="AC242" s="57"/>
      <c r="AD242" s="71"/>
      <c r="AE242" s="57"/>
      <c r="AF242" s="57"/>
      <c r="AG242" s="57"/>
      <c r="AH242" s="57"/>
      <c r="AI242" s="57"/>
      <c r="AJ242" s="57"/>
      <c r="AK242" s="57"/>
      <c r="AL242" s="57"/>
      <c r="AM242" s="71"/>
      <c r="AN242" s="57"/>
      <c r="AO242" s="57"/>
      <c r="AP242" s="57"/>
      <c r="AQ242" s="57"/>
      <c r="AR242" s="57"/>
      <c r="AS242" s="57"/>
      <c r="AT242" s="57"/>
      <c r="AU242" s="57"/>
      <c r="AV242" s="71"/>
      <c r="AW242" s="57"/>
      <c r="AX242" s="55"/>
      <c r="AY242" s="55"/>
      <c r="AZ242" s="55"/>
      <c r="BA242" s="55"/>
      <c r="BB242" s="55"/>
      <c r="BC242" s="55"/>
      <c r="BD242" s="57"/>
      <c r="BE242" s="65"/>
      <c r="BF242" s="55"/>
      <c r="BG242" s="55"/>
      <c r="BH242" s="55"/>
      <c r="BI242" s="55"/>
      <c r="BJ242" s="55"/>
      <c r="BK242" s="55"/>
      <c r="BL242" s="55"/>
      <c r="BM242" s="55"/>
    </row>
    <row r="243" spans="1:65">
      <c r="A243" s="12" t="str">
        <f>Roster!A243</f>
        <v/>
      </c>
      <c r="B243" s="28">
        <f>Roster!C243</f>
        <v>0</v>
      </c>
      <c r="C243" s="55"/>
      <c r="D243" s="56"/>
      <c r="E243" s="57"/>
      <c r="F243" s="57"/>
      <c r="G243" s="57"/>
      <c r="H243" s="57"/>
      <c r="I243" s="57"/>
      <c r="J243" s="57"/>
      <c r="K243" s="45"/>
      <c r="L243" s="58"/>
      <c r="M243" s="56"/>
      <c r="N243" s="57"/>
      <c r="O243" s="57"/>
      <c r="P243" s="57"/>
      <c r="Q243" s="57"/>
      <c r="R243" s="57"/>
      <c r="S243" s="57"/>
      <c r="T243" s="45"/>
      <c r="U243" s="71"/>
      <c r="V243" s="57"/>
      <c r="W243" s="57"/>
      <c r="X243" s="57"/>
      <c r="Y243" s="57"/>
      <c r="Z243" s="57"/>
      <c r="AA243" s="57"/>
      <c r="AB243" s="57"/>
      <c r="AC243" s="57"/>
      <c r="AD243" s="71"/>
      <c r="AE243" s="57"/>
      <c r="AF243" s="57"/>
      <c r="AG243" s="57"/>
      <c r="AH243" s="57"/>
      <c r="AI243" s="57"/>
      <c r="AJ243" s="57"/>
      <c r="AK243" s="57"/>
      <c r="AL243" s="57"/>
      <c r="AM243" s="71"/>
      <c r="AN243" s="57"/>
      <c r="AO243" s="57"/>
      <c r="AP243" s="57"/>
      <c r="AQ243" s="57"/>
      <c r="AR243" s="57"/>
      <c r="AS243" s="57"/>
      <c r="AT243" s="57"/>
      <c r="AU243" s="57"/>
      <c r="AV243" s="71"/>
      <c r="AW243" s="57"/>
      <c r="AX243" s="55"/>
      <c r="AY243" s="55"/>
      <c r="AZ243" s="55"/>
      <c r="BA243" s="55"/>
      <c r="BB243" s="55"/>
      <c r="BC243" s="55"/>
      <c r="BD243" s="57"/>
      <c r="BE243" s="65"/>
      <c r="BF243" s="55"/>
      <c r="BG243" s="55"/>
      <c r="BH243" s="55"/>
      <c r="BI243" s="55"/>
      <c r="BJ243" s="55"/>
      <c r="BK243" s="55"/>
      <c r="BL243" s="55"/>
      <c r="BM243" s="55"/>
    </row>
    <row r="244" spans="1:65">
      <c r="A244" s="12" t="str">
        <f>Roster!A244</f>
        <v/>
      </c>
      <c r="B244" s="28">
        <f>Roster!C244</f>
        <v>0</v>
      </c>
      <c r="C244" s="55"/>
      <c r="D244" s="56"/>
      <c r="E244" s="57"/>
      <c r="F244" s="57"/>
      <c r="G244" s="57"/>
      <c r="H244" s="57"/>
      <c r="I244" s="57"/>
      <c r="J244" s="57"/>
      <c r="K244" s="45"/>
      <c r="L244" s="58"/>
      <c r="M244" s="56"/>
      <c r="N244" s="57"/>
      <c r="O244" s="57"/>
      <c r="P244" s="57"/>
      <c r="Q244" s="57"/>
      <c r="R244" s="57"/>
      <c r="S244" s="57"/>
      <c r="T244" s="45"/>
      <c r="U244" s="71"/>
      <c r="V244" s="57"/>
      <c r="W244" s="57"/>
      <c r="X244" s="57"/>
      <c r="Y244" s="57"/>
      <c r="Z244" s="57"/>
      <c r="AA244" s="57"/>
      <c r="AB244" s="57"/>
      <c r="AC244" s="57"/>
      <c r="AD244" s="71"/>
      <c r="AE244" s="57"/>
      <c r="AF244" s="57"/>
      <c r="AG244" s="57"/>
      <c r="AH244" s="57"/>
      <c r="AI244" s="57"/>
      <c r="AJ244" s="57"/>
      <c r="AK244" s="57"/>
      <c r="AL244" s="57"/>
      <c r="AM244" s="71"/>
      <c r="AN244" s="57"/>
      <c r="AO244" s="57"/>
      <c r="AP244" s="57"/>
      <c r="AQ244" s="57"/>
      <c r="AR244" s="57"/>
      <c r="AS244" s="57"/>
      <c r="AT244" s="57"/>
      <c r="AU244" s="57"/>
      <c r="AV244" s="71"/>
      <c r="AW244" s="57"/>
      <c r="AX244" s="55"/>
      <c r="AY244" s="55"/>
      <c r="AZ244" s="55"/>
      <c r="BA244" s="55"/>
      <c r="BB244" s="55"/>
      <c r="BC244" s="55"/>
      <c r="BD244" s="57"/>
      <c r="BE244" s="65"/>
      <c r="BF244" s="55"/>
      <c r="BG244" s="55"/>
      <c r="BH244" s="55"/>
      <c r="BI244" s="55"/>
      <c r="BJ244" s="55"/>
      <c r="BK244" s="55"/>
      <c r="BL244" s="55"/>
      <c r="BM244" s="55"/>
    </row>
    <row r="245" spans="1:65">
      <c r="A245" s="12" t="str">
        <f>Roster!A245</f>
        <v/>
      </c>
      <c r="B245" s="28">
        <f>Roster!C245</f>
        <v>0</v>
      </c>
      <c r="C245" s="55"/>
      <c r="D245" s="56"/>
      <c r="E245" s="57"/>
      <c r="F245" s="57"/>
      <c r="G245" s="57"/>
      <c r="H245" s="57"/>
      <c r="I245" s="57"/>
      <c r="J245" s="57"/>
      <c r="K245" s="45"/>
      <c r="L245" s="58"/>
      <c r="M245" s="56"/>
      <c r="N245" s="57"/>
      <c r="O245" s="57"/>
      <c r="P245" s="57"/>
      <c r="Q245" s="57"/>
      <c r="R245" s="57"/>
      <c r="S245" s="57"/>
      <c r="T245" s="45"/>
      <c r="U245" s="71"/>
      <c r="V245" s="57"/>
      <c r="W245" s="57"/>
      <c r="X245" s="57"/>
      <c r="Y245" s="57"/>
      <c r="Z245" s="57"/>
      <c r="AA245" s="57"/>
      <c r="AB245" s="57"/>
      <c r="AC245" s="57"/>
      <c r="AD245" s="71"/>
      <c r="AE245" s="57"/>
      <c r="AF245" s="57"/>
      <c r="AG245" s="57"/>
      <c r="AH245" s="57"/>
      <c r="AI245" s="57"/>
      <c r="AJ245" s="57"/>
      <c r="AK245" s="57"/>
      <c r="AL245" s="57"/>
      <c r="AM245" s="71"/>
      <c r="AN245" s="57"/>
      <c r="AO245" s="57"/>
      <c r="AP245" s="57"/>
      <c r="AQ245" s="57"/>
      <c r="AR245" s="57"/>
      <c r="AS245" s="57"/>
      <c r="AT245" s="57"/>
      <c r="AU245" s="57"/>
      <c r="AV245" s="71"/>
      <c r="AW245" s="57"/>
      <c r="AX245" s="55"/>
      <c r="AY245" s="55"/>
      <c r="AZ245" s="55"/>
      <c r="BA245" s="55"/>
      <c r="BB245" s="55"/>
      <c r="BC245" s="55"/>
      <c r="BD245" s="57"/>
      <c r="BE245" s="65"/>
      <c r="BF245" s="55"/>
      <c r="BG245" s="55"/>
      <c r="BH245" s="55"/>
      <c r="BI245" s="55"/>
      <c r="BJ245" s="55"/>
      <c r="BK245" s="55"/>
      <c r="BL245" s="55"/>
      <c r="BM245" s="55"/>
    </row>
    <row r="246" spans="1:65">
      <c r="A246" s="12" t="str">
        <f>Roster!A246</f>
        <v/>
      </c>
      <c r="B246" s="28">
        <f>Roster!C246</f>
        <v>0</v>
      </c>
      <c r="C246" s="55"/>
      <c r="D246" s="56"/>
      <c r="E246" s="57"/>
      <c r="F246" s="57"/>
      <c r="G246" s="57"/>
      <c r="H246" s="57"/>
      <c r="I246" s="57"/>
      <c r="J246" s="57"/>
      <c r="K246" s="45"/>
      <c r="L246" s="58"/>
      <c r="M246" s="56"/>
      <c r="N246" s="57"/>
      <c r="O246" s="57"/>
      <c r="P246" s="57"/>
      <c r="Q246" s="57"/>
      <c r="R246" s="57"/>
      <c r="S246" s="57"/>
      <c r="T246" s="45"/>
      <c r="U246" s="71"/>
      <c r="V246" s="57"/>
      <c r="W246" s="57"/>
      <c r="X246" s="57"/>
      <c r="Y246" s="57"/>
      <c r="Z246" s="57"/>
      <c r="AA246" s="57"/>
      <c r="AB246" s="57"/>
      <c r="AC246" s="57"/>
      <c r="AD246" s="71"/>
      <c r="AE246" s="57"/>
      <c r="AF246" s="57"/>
      <c r="AG246" s="57"/>
      <c r="AH246" s="57"/>
      <c r="AI246" s="57"/>
      <c r="AJ246" s="57"/>
      <c r="AK246" s="57"/>
      <c r="AL246" s="57"/>
      <c r="AM246" s="71"/>
      <c r="AN246" s="57"/>
      <c r="AO246" s="57"/>
      <c r="AP246" s="57"/>
      <c r="AQ246" s="57"/>
      <c r="AR246" s="57"/>
      <c r="AS246" s="57"/>
      <c r="AT246" s="57"/>
      <c r="AU246" s="57"/>
      <c r="AV246" s="71"/>
      <c r="AW246" s="57"/>
      <c r="AX246" s="55"/>
      <c r="AY246" s="55"/>
      <c r="AZ246" s="55"/>
      <c r="BA246" s="55"/>
      <c r="BB246" s="55"/>
      <c r="BC246" s="55"/>
      <c r="BD246" s="57"/>
      <c r="BE246" s="65"/>
      <c r="BF246" s="55"/>
      <c r="BG246" s="55"/>
      <c r="BH246" s="55"/>
      <c r="BI246" s="55"/>
      <c r="BJ246" s="55"/>
      <c r="BK246" s="55"/>
      <c r="BL246" s="55"/>
      <c r="BM246" s="55"/>
    </row>
    <row r="247" spans="1:65">
      <c r="A247" s="12" t="str">
        <f>Roster!A247</f>
        <v/>
      </c>
      <c r="B247" s="28">
        <f>Roster!C247</f>
        <v>0</v>
      </c>
      <c r="C247" s="55"/>
      <c r="D247" s="56"/>
      <c r="E247" s="57"/>
      <c r="F247" s="57"/>
      <c r="G247" s="57"/>
      <c r="H247" s="57"/>
      <c r="I247" s="57"/>
      <c r="J247" s="57"/>
      <c r="K247" s="45"/>
      <c r="L247" s="58"/>
      <c r="M247" s="56"/>
      <c r="N247" s="57"/>
      <c r="O247" s="57"/>
      <c r="P247" s="57"/>
      <c r="Q247" s="57"/>
      <c r="R247" s="57"/>
      <c r="S247" s="57"/>
      <c r="T247" s="45"/>
      <c r="U247" s="71"/>
      <c r="V247" s="57"/>
      <c r="W247" s="57"/>
      <c r="X247" s="57"/>
      <c r="Y247" s="57"/>
      <c r="Z247" s="57"/>
      <c r="AA247" s="57"/>
      <c r="AB247" s="57"/>
      <c r="AC247" s="57"/>
      <c r="AD247" s="71"/>
      <c r="AE247" s="57"/>
      <c r="AF247" s="57"/>
      <c r="AG247" s="57"/>
      <c r="AH247" s="57"/>
      <c r="AI247" s="57"/>
      <c r="AJ247" s="57"/>
      <c r="AK247" s="57"/>
      <c r="AL247" s="57"/>
      <c r="AM247" s="71"/>
      <c r="AN247" s="57"/>
      <c r="AO247" s="57"/>
      <c r="AP247" s="57"/>
      <c r="AQ247" s="57"/>
      <c r="AR247" s="57"/>
      <c r="AS247" s="57"/>
      <c r="AT247" s="57"/>
      <c r="AU247" s="57"/>
      <c r="AV247" s="71"/>
      <c r="AW247" s="57"/>
      <c r="AX247" s="55"/>
      <c r="AY247" s="55"/>
      <c r="AZ247" s="55"/>
      <c r="BA247" s="55"/>
      <c r="BB247" s="55"/>
      <c r="BC247" s="55"/>
      <c r="BD247" s="57"/>
      <c r="BE247" s="65"/>
      <c r="BF247" s="55"/>
      <c r="BG247" s="55"/>
      <c r="BH247" s="55"/>
      <c r="BI247" s="55"/>
      <c r="BJ247" s="55"/>
      <c r="BK247" s="55"/>
      <c r="BL247" s="55"/>
      <c r="BM247" s="55"/>
    </row>
    <row r="248" spans="1:65">
      <c r="A248" s="12" t="str">
        <f>Roster!A248</f>
        <v/>
      </c>
      <c r="B248" s="28">
        <f>Roster!C248</f>
        <v>0</v>
      </c>
      <c r="C248" s="55"/>
      <c r="D248" s="56"/>
      <c r="E248" s="57"/>
      <c r="F248" s="57"/>
      <c r="G248" s="57"/>
      <c r="H248" s="57"/>
      <c r="I248" s="57"/>
      <c r="J248" s="57"/>
      <c r="K248" s="45"/>
      <c r="L248" s="58"/>
      <c r="M248" s="56"/>
      <c r="N248" s="57"/>
      <c r="O248" s="57"/>
      <c r="P248" s="57"/>
      <c r="Q248" s="57"/>
      <c r="R248" s="57"/>
      <c r="S248" s="57"/>
      <c r="T248" s="45"/>
      <c r="U248" s="71"/>
      <c r="V248" s="57"/>
      <c r="W248" s="57"/>
      <c r="X248" s="57"/>
      <c r="Y248" s="57"/>
      <c r="Z248" s="57"/>
      <c r="AA248" s="57"/>
      <c r="AB248" s="57"/>
      <c r="AC248" s="57"/>
      <c r="AD248" s="71"/>
      <c r="AE248" s="57"/>
      <c r="AF248" s="57"/>
      <c r="AG248" s="57"/>
      <c r="AH248" s="57"/>
      <c r="AI248" s="57"/>
      <c r="AJ248" s="57"/>
      <c r="AK248" s="57"/>
      <c r="AL248" s="57"/>
      <c r="AM248" s="71"/>
      <c r="AN248" s="57"/>
      <c r="AO248" s="57"/>
      <c r="AP248" s="57"/>
      <c r="AQ248" s="57"/>
      <c r="AR248" s="57"/>
      <c r="AS248" s="57"/>
      <c r="AT248" s="57"/>
      <c r="AU248" s="57"/>
      <c r="AV248" s="71"/>
      <c r="AW248" s="57"/>
      <c r="AX248" s="55"/>
      <c r="AY248" s="55"/>
      <c r="AZ248" s="55"/>
      <c r="BA248" s="55"/>
      <c r="BB248" s="55"/>
      <c r="BC248" s="55"/>
      <c r="BD248" s="57"/>
      <c r="BE248" s="65"/>
      <c r="BF248" s="55"/>
      <c r="BG248" s="55"/>
      <c r="BH248" s="55"/>
      <c r="BI248" s="55"/>
      <c r="BJ248" s="55"/>
      <c r="BK248" s="55"/>
      <c r="BL248" s="55"/>
      <c r="BM248" s="55"/>
    </row>
    <row r="249" spans="1:65">
      <c r="A249" s="12" t="str">
        <f>Roster!A249</f>
        <v/>
      </c>
      <c r="B249" s="28">
        <f>Roster!C249</f>
        <v>0</v>
      </c>
      <c r="C249" s="55"/>
      <c r="D249" s="56"/>
      <c r="E249" s="57"/>
      <c r="F249" s="57"/>
      <c r="G249" s="57"/>
      <c r="H249" s="57"/>
      <c r="I249" s="57"/>
      <c r="J249" s="57"/>
      <c r="K249" s="45"/>
      <c r="L249" s="58"/>
      <c r="M249" s="56"/>
      <c r="N249" s="57"/>
      <c r="O249" s="57"/>
      <c r="P249" s="57"/>
      <c r="Q249" s="57"/>
      <c r="R249" s="57"/>
      <c r="S249" s="57"/>
      <c r="T249" s="45"/>
      <c r="U249" s="71"/>
      <c r="V249" s="57"/>
      <c r="W249" s="57"/>
      <c r="X249" s="57"/>
      <c r="Y249" s="57"/>
      <c r="Z249" s="57"/>
      <c r="AA249" s="57"/>
      <c r="AB249" s="57"/>
      <c r="AC249" s="57"/>
      <c r="AD249" s="71"/>
      <c r="AE249" s="57"/>
      <c r="AF249" s="57"/>
      <c r="AG249" s="57"/>
      <c r="AH249" s="57"/>
      <c r="AI249" s="57"/>
      <c r="AJ249" s="57"/>
      <c r="AK249" s="57"/>
      <c r="AL249" s="57"/>
      <c r="AM249" s="71"/>
      <c r="AN249" s="57"/>
      <c r="AO249" s="57"/>
      <c r="AP249" s="57"/>
      <c r="AQ249" s="57"/>
      <c r="AR249" s="57"/>
      <c r="AS249" s="57"/>
      <c r="AT249" s="57"/>
      <c r="AU249" s="57"/>
      <c r="AV249" s="71"/>
      <c r="AW249" s="57"/>
      <c r="AX249" s="55"/>
      <c r="AY249" s="55"/>
      <c r="AZ249" s="55"/>
      <c r="BA249" s="55"/>
      <c r="BB249" s="55"/>
      <c r="BC249" s="55"/>
      <c r="BD249" s="57"/>
      <c r="BE249" s="65"/>
      <c r="BF249" s="55"/>
      <c r="BG249" s="55"/>
      <c r="BH249" s="55"/>
      <c r="BI249" s="55"/>
      <c r="BJ249" s="55"/>
      <c r="BK249" s="55"/>
      <c r="BL249" s="55"/>
      <c r="BM249" s="55"/>
    </row>
    <row r="250" spans="1:65">
      <c r="A250" s="12" t="str">
        <f>Roster!A250</f>
        <v/>
      </c>
      <c r="B250" s="28">
        <f>Roster!C250</f>
        <v>0</v>
      </c>
      <c r="C250" s="55"/>
      <c r="D250" s="56"/>
      <c r="E250" s="57"/>
      <c r="F250" s="57"/>
      <c r="G250" s="57"/>
      <c r="H250" s="57"/>
      <c r="I250" s="57"/>
      <c r="J250" s="57"/>
      <c r="K250" s="45"/>
      <c r="L250" s="58"/>
      <c r="M250" s="56"/>
      <c r="N250" s="57"/>
      <c r="O250" s="57"/>
      <c r="P250" s="57"/>
      <c r="Q250" s="57"/>
      <c r="R250" s="57"/>
      <c r="S250" s="57"/>
      <c r="T250" s="45"/>
      <c r="U250" s="71"/>
      <c r="V250" s="57"/>
      <c r="W250" s="57"/>
      <c r="X250" s="57"/>
      <c r="Y250" s="57"/>
      <c r="Z250" s="57"/>
      <c r="AA250" s="57"/>
      <c r="AB250" s="57"/>
      <c r="AC250" s="57"/>
      <c r="AD250" s="71"/>
      <c r="AE250" s="57"/>
      <c r="AF250" s="57"/>
      <c r="AG250" s="57"/>
      <c r="AH250" s="57"/>
      <c r="AI250" s="57"/>
      <c r="AJ250" s="57"/>
      <c r="AK250" s="57"/>
      <c r="AL250" s="57"/>
      <c r="AM250" s="71"/>
      <c r="AN250" s="57"/>
      <c r="AO250" s="57"/>
      <c r="AP250" s="57"/>
      <c r="AQ250" s="57"/>
      <c r="AR250" s="57"/>
      <c r="AS250" s="57"/>
      <c r="AT250" s="57"/>
      <c r="AU250" s="57"/>
      <c r="AV250" s="71"/>
      <c r="AW250" s="57"/>
      <c r="AX250" s="55"/>
      <c r="AY250" s="55"/>
      <c r="AZ250" s="55"/>
      <c r="BA250" s="55"/>
      <c r="BB250" s="55"/>
      <c r="BC250" s="55"/>
      <c r="BD250" s="57"/>
      <c r="BE250" s="65"/>
      <c r="BF250" s="55"/>
      <c r="BG250" s="55"/>
      <c r="BH250" s="55"/>
      <c r="BI250" s="55"/>
      <c r="BJ250" s="55"/>
      <c r="BK250" s="55"/>
      <c r="BL250" s="55"/>
      <c r="BM250" s="55"/>
    </row>
    <row r="251" spans="1:65">
      <c r="A251" s="12" t="str">
        <f>Roster!A251</f>
        <v/>
      </c>
      <c r="B251" s="28">
        <f>Roster!C251</f>
        <v>0</v>
      </c>
      <c r="C251" s="55"/>
      <c r="D251" s="56"/>
      <c r="E251" s="57"/>
      <c r="F251" s="57"/>
      <c r="G251" s="57"/>
      <c r="H251" s="57"/>
      <c r="I251" s="57"/>
      <c r="J251" s="57"/>
      <c r="K251" s="45"/>
      <c r="L251" s="58"/>
      <c r="M251" s="56"/>
      <c r="N251" s="57"/>
      <c r="O251" s="57"/>
      <c r="P251" s="57"/>
      <c r="Q251" s="57"/>
      <c r="R251" s="57"/>
      <c r="S251" s="57"/>
      <c r="T251" s="45"/>
      <c r="U251" s="71"/>
      <c r="V251" s="57"/>
      <c r="W251" s="57"/>
      <c r="X251" s="57"/>
      <c r="Y251" s="57"/>
      <c r="Z251" s="57"/>
      <c r="AA251" s="57"/>
      <c r="AB251" s="57"/>
      <c r="AC251" s="57"/>
      <c r="AD251" s="71"/>
      <c r="AE251" s="57"/>
      <c r="AF251" s="57"/>
      <c r="AG251" s="57"/>
      <c r="AH251" s="57"/>
      <c r="AI251" s="57"/>
      <c r="AJ251" s="57"/>
      <c r="AK251" s="57"/>
      <c r="AL251" s="57"/>
      <c r="AM251" s="71"/>
      <c r="AN251" s="57"/>
      <c r="AO251" s="57"/>
      <c r="AP251" s="57"/>
      <c r="AQ251" s="57"/>
      <c r="AR251" s="57"/>
      <c r="AS251" s="57"/>
      <c r="AT251" s="57"/>
      <c r="AU251" s="57"/>
      <c r="AV251" s="71"/>
      <c r="AW251" s="57"/>
      <c r="AX251" s="55"/>
      <c r="AY251" s="55"/>
      <c r="AZ251" s="55"/>
      <c r="BA251" s="55"/>
      <c r="BB251" s="55"/>
      <c r="BC251" s="55"/>
      <c r="BD251" s="57"/>
      <c r="BE251" s="65"/>
      <c r="BF251" s="55"/>
      <c r="BG251" s="55"/>
      <c r="BH251" s="55"/>
      <c r="BI251" s="55"/>
      <c r="BJ251" s="55"/>
      <c r="BK251" s="55"/>
      <c r="BL251" s="55"/>
      <c r="BM251" s="55"/>
    </row>
    <row r="252" spans="1:65">
      <c r="A252" s="12" t="str">
        <f>Roster!A252</f>
        <v/>
      </c>
      <c r="B252" s="28">
        <f>Roster!C252</f>
        <v>0</v>
      </c>
      <c r="C252" s="55"/>
      <c r="D252" s="56"/>
      <c r="E252" s="57"/>
      <c r="F252" s="57"/>
      <c r="G252" s="57"/>
      <c r="H252" s="57"/>
      <c r="I252" s="57"/>
      <c r="J252" s="57"/>
      <c r="K252" s="45"/>
      <c r="L252" s="58"/>
      <c r="M252" s="56"/>
      <c r="N252" s="57"/>
      <c r="O252" s="57"/>
      <c r="P252" s="57"/>
      <c r="Q252" s="57"/>
      <c r="R252" s="57"/>
      <c r="S252" s="57"/>
      <c r="T252" s="45"/>
      <c r="U252" s="71"/>
      <c r="V252" s="57"/>
      <c r="W252" s="57"/>
      <c r="X252" s="57"/>
      <c r="Y252" s="57"/>
      <c r="Z252" s="57"/>
      <c r="AA252" s="57"/>
      <c r="AB252" s="57"/>
      <c r="AC252" s="57"/>
      <c r="AD252" s="71"/>
      <c r="AE252" s="57"/>
      <c r="AF252" s="57"/>
      <c r="AG252" s="57"/>
      <c r="AH252" s="57"/>
      <c r="AI252" s="57"/>
      <c r="AJ252" s="57"/>
      <c r="AK252" s="57"/>
      <c r="AL252" s="57"/>
      <c r="AM252" s="71"/>
      <c r="AN252" s="57"/>
      <c r="AO252" s="57"/>
      <c r="AP252" s="57"/>
      <c r="AQ252" s="57"/>
      <c r="AR252" s="57"/>
      <c r="AS252" s="57"/>
      <c r="AT252" s="57"/>
      <c r="AU252" s="57"/>
      <c r="AV252" s="71"/>
      <c r="AW252" s="57"/>
      <c r="AX252" s="55"/>
      <c r="AY252" s="55"/>
      <c r="AZ252" s="55"/>
      <c r="BA252" s="55"/>
      <c r="BB252" s="55"/>
      <c r="BC252" s="55"/>
      <c r="BD252" s="57"/>
      <c r="BE252" s="65"/>
      <c r="BF252" s="55"/>
      <c r="BG252" s="55"/>
      <c r="BH252" s="55"/>
      <c r="BI252" s="55"/>
      <c r="BJ252" s="55"/>
      <c r="BK252" s="55"/>
      <c r="BL252" s="55"/>
      <c r="BM252" s="55"/>
    </row>
    <row r="253" spans="1:65">
      <c r="A253" s="12" t="str">
        <f>Roster!A253</f>
        <v/>
      </c>
      <c r="B253" s="28">
        <f>Roster!C253</f>
        <v>0</v>
      </c>
      <c r="C253" s="55"/>
      <c r="D253" s="56"/>
      <c r="E253" s="57"/>
      <c r="F253" s="57"/>
      <c r="G253" s="57"/>
      <c r="H253" s="57"/>
      <c r="I253" s="57"/>
      <c r="J253" s="57"/>
      <c r="K253" s="45"/>
      <c r="L253" s="58"/>
      <c r="M253" s="56"/>
      <c r="N253" s="57"/>
      <c r="O253" s="57"/>
      <c r="P253" s="57"/>
      <c r="Q253" s="57"/>
      <c r="R253" s="57"/>
      <c r="S253" s="57"/>
      <c r="T253" s="45"/>
      <c r="U253" s="71"/>
      <c r="V253" s="57"/>
      <c r="W253" s="57"/>
      <c r="X253" s="57"/>
      <c r="Y253" s="57"/>
      <c r="Z253" s="57"/>
      <c r="AA253" s="57"/>
      <c r="AB253" s="57"/>
      <c r="AC253" s="57"/>
      <c r="AD253" s="71"/>
      <c r="AE253" s="57"/>
      <c r="AF253" s="57"/>
      <c r="AG253" s="57"/>
      <c r="AH253" s="57"/>
      <c r="AI253" s="57"/>
      <c r="AJ253" s="57"/>
      <c r="AK253" s="57"/>
      <c r="AL253" s="57"/>
      <c r="AM253" s="71"/>
      <c r="AN253" s="57"/>
      <c r="AO253" s="57"/>
      <c r="AP253" s="57"/>
      <c r="AQ253" s="57"/>
      <c r="AR253" s="57"/>
      <c r="AS253" s="57"/>
      <c r="AT253" s="57"/>
      <c r="AU253" s="57"/>
      <c r="AV253" s="71"/>
      <c r="AW253" s="57"/>
      <c r="AX253" s="55"/>
      <c r="AY253" s="55"/>
      <c r="AZ253" s="55"/>
      <c r="BA253" s="55"/>
      <c r="BB253" s="55"/>
      <c r="BC253" s="55"/>
      <c r="BD253" s="57"/>
      <c r="BE253" s="65"/>
      <c r="BF253" s="55"/>
      <c r="BG253" s="55"/>
      <c r="BH253" s="55"/>
      <c r="BI253" s="55"/>
      <c r="BJ253" s="55"/>
      <c r="BK253" s="55"/>
      <c r="BL253" s="55"/>
      <c r="BM253" s="55"/>
    </row>
    <row r="254" spans="1:65">
      <c r="A254" s="12" t="str">
        <f>Roster!A254</f>
        <v/>
      </c>
      <c r="B254" s="28">
        <f>Roster!C254</f>
        <v>0</v>
      </c>
      <c r="C254" s="55"/>
      <c r="D254" s="56"/>
      <c r="E254" s="57"/>
      <c r="F254" s="57"/>
      <c r="G254" s="57"/>
      <c r="H254" s="57"/>
      <c r="I254" s="57"/>
      <c r="J254" s="57"/>
      <c r="K254" s="45"/>
      <c r="L254" s="58"/>
      <c r="M254" s="56"/>
      <c r="N254" s="57"/>
      <c r="O254" s="57"/>
      <c r="P254" s="57"/>
      <c r="Q254" s="57"/>
      <c r="R254" s="57"/>
      <c r="S254" s="57"/>
      <c r="T254" s="45"/>
      <c r="U254" s="71"/>
      <c r="V254" s="57"/>
      <c r="W254" s="57"/>
      <c r="X254" s="57"/>
      <c r="Y254" s="57"/>
      <c r="Z254" s="57"/>
      <c r="AA254" s="57"/>
      <c r="AB254" s="57"/>
      <c r="AC254" s="57"/>
      <c r="AD254" s="71"/>
      <c r="AE254" s="57"/>
      <c r="AF254" s="57"/>
      <c r="AG254" s="57"/>
      <c r="AH254" s="57"/>
      <c r="AI254" s="57"/>
      <c r="AJ254" s="57"/>
      <c r="AK254" s="57"/>
      <c r="AL254" s="57"/>
      <c r="AM254" s="71"/>
      <c r="AN254" s="57"/>
      <c r="AO254" s="57"/>
      <c r="AP254" s="57"/>
      <c r="AQ254" s="57"/>
      <c r="AR254" s="57"/>
      <c r="AS254" s="57"/>
      <c r="AT254" s="57"/>
      <c r="AU254" s="57"/>
      <c r="AV254" s="71"/>
      <c r="AW254" s="57"/>
      <c r="AX254" s="55"/>
      <c r="AY254" s="55"/>
      <c r="AZ254" s="55"/>
      <c r="BA254" s="55"/>
      <c r="BB254" s="55"/>
      <c r="BC254" s="55"/>
      <c r="BD254" s="57"/>
      <c r="BE254" s="65"/>
      <c r="BF254" s="55"/>
      <c r="BG254" s="55"/>
      <c r="BH254" s="55"/>
      <c r="BI254" s="55"/>
      <c r="BJ254" s="55"/>
      <c r="BK254" s="55"/>
      <c r="BL254" s="55"/>
      <c r="BM254" s="55"/>
    </row>
    <row r="255" spans="1:65">
      <c r="A255" s="12" t="str">
        <f>Roster!A255</f>
        <v/>
      </c>
      <c r="B255" s="28">
        <f>Roster!C255</f>
        <v>0</v>
      </c>
      <c r="C255" s="55"/>
      <c r="D255" s="56"/>
      <c r="E255" s="57"/>
      <c r="F255" s="57"/>
      <c r="G255" s="57"/>
      <c r="H255" s="57"/>
      <c r="I255" s="57"/>
      <c r="J255" s="57"/>
      <c r="K255" s="45"/>
      <c r="L255" s="58"/>
      <c r="M255" s="56"/>
      <c r="N255" s="57"/>
      <c r="O255" s="57"/>
      <c r="P255" s="57"/>
      <c r="Q255" s="57"/>
      <c r="R255" s="57"/>
      <c r="S255" s="57"/>
      <c r="T255" s="45"/>
      <c r="U255" s="71"/>
      <c r="V255" s="57"/>
      <c r="W255" s="57"/>
      <c r="X255" s="57"/>
      <c r="Y255" s="57"/>
      <c r="Z255" s="57"/>
      <c r="AA255" s="57"/>
      <c r="AB255" s="57"/>
      <c r="AC255" s="57"/>
      <c r="AD255" s="71"/>
      <c r="AE255" s="57"/>
      <c r="AF255" s="57"/>
      <c r="AG255" s="57"/>
      <c r="AH255" s="57"/>
      <c r="AI255" s="57"/>
      <c r="AJ255" s="57"/>
      <c r="AK255" s="57"/>
      <c r="AL255" s="57"/>
      <c r="AM255" s="71"/>
      <c r="AN255" s="57"/>
      <c r="AO255" s="57"/>
      <c r="AP255" s="57"/>
      <c r="AQ255" s="57"/>
      <c r="AR255" s="57"/>
      <c r="AS255" s="57"/>
      <c r="AT255" s="57"/>
      <c r="AU255" s="57"/>
      <c r="AV255" s="71"/>
      <c r="AW255" s="57"/>
      <c r="AX255" s="55"/>
      <c r="AY255" s="55"/>
      <c r="AZ255" s="55"/>
      <c r="BA255" s="55"/>
      <c r="BB255" s="55"/>
      <c r="BC255" s="55"/>
      <c r="BD255" s="57"/>
      <c r="BE255" s="65"/>
      <c r="BF255" s="55"/>
      <c r="BG255" s="55"/>
      <c r="BH255" s="55"/>
      <c r="BI255" s="55"/>
      <c r="BJ255" s="55"/>
      <c r="BK255" s="55"/>
      <c r="BL255" s="55"/>
      <c r="BM255" s="55"/>
    </row>
    <row r="256" spans="1:65">
      <c r="A256" s="12" t="str">
        <f>Roster!A256</f>
        <v/>
      </c>
      <c r="B256" s="28">
        <f>Roster!C256</f>
        <v>0</v>
      </c>
      <c r="C256" s="55"/>
      <c r="D256" s="56"/>
      <c r="E256" s="57"/>
      <c r="F256" s="57"/>
      <c r="G256" s="57"/>
      <c r="H256" s="57"/>
      <c r="I256" s="57"/>
      <c r="J256" s="57"/>
      <c r="K256" s="45"/>
      <c r="L256" s="58"/>
      <c r="M256" s="56"/>
      <c r="N256" s="57"/>
      <c r="O256" s="57"/>
      <c r="P256" s="57"/>
      <c r="Q256" s="57"/>
      <c r="R256" s="57"/>
      <c r="S256" s="57"/>
      <c r="T256" s="45"/>
      <c r="U256" s="71"/>
      <c r="V256" s="57"/>
      <c r="W256" s="57"/>
      <c r="X256" s="57"/>
      <c r="Y256" s="57"/>
      <c r="Z256" s="57"/>
      <c r="AA256" s="57"/>
      <c r="AB256" s="57"/>
      <c r="AC256" s="57"/>
      <c r="AD256" s="71"/>
      <c r="AE256" s="57"/>
      <c r="AF256" s="57"/>
      <c r="AG256" s="57"/>
      <c r="AH256" s="57"/>
      <c r="AI256" s="57"/>
      <c r="AJ256" s="57"/>
      <c r="AK256" s="57"/>
      <c r="AL256" s="57"/>
      <c r="AM256" s="71"/>
      <c r="AN256" s="57"/>
      <c r="AO256" s="57"/>
      <c r="AP256" s="57"/>
      <c r="AQ256" s="57"/>
      <c r="AR256" s="57"/>
      <c r="AS256" s="57"/>
      <c r="AT256" s="57"/>
      <c r="AU256" s="57"/>
      <c r="AV256" s="71"/>
      <c r="AW256" s="57"/>
      <c r="AX256" s="55"/>
      <c r="AY256" s="55"/>
      <c r="AZ256" s="55"/>
      <c r="BA256" s="55"/>
      <c r="BB256" s="55"/>
      <c r="BC256" s="55"/>
      <c r="BD256" s="57"/>
      <c r="BE256" s="65"/>
      <c r="BF256" s="55"/>
      <c r="BG256" s="55"/>
      <c r="BH256" s="55"/>
      <c r="BI256" s="55"/>
      <c r="BJ256" s="55"/>
      <c r="BK256" s="55"/>
      <c r="BL256" s="55"/>
      <c r="BM256" s="55"/>
    </row>
    <row r="257" spans="1:65">
      <c r="A257" s="12" t="str">
        <f>Roster!A257</f>
        <v/>
      </c>
      <c r="B257" s="28">
        <f>Roster!C257</f>
        <v>0</v>
      </c>
      <c r="C257" s="55"/>
      <c r="D257" s="56"/>
      <c r="E257" s="57"/>
      <c r="F257" s="57"/>
      <c r="G257" s="57"/>
      <c r="H257" s="57"/>
      <c r="I257" s="57"/>
      <c r="J257" s="57"/>
      <c r="K257" s="45"/>
      <c r="L257" s="58"/>
      <c r="M257" s="56"/>
      <c r="N257" s="57"/>
      <c r="O257" s="57"/>
      <c r="P257" s="57"/>
      <c r="Q257" s="57"/>
      <c r="R257" s="57"/>
      <c r="S257" s="57"/>
      <c r="T257" s="45"/>
      <c r="U257" s="71"/>
      <c r="V257" s="57"/>
      <c r="W257" s="57"/>
      <c r="X257" s="57"/>
      <c r="Y257" s="57"/>
      <c r="Z257" s="57"/>
      <c r="AA257" s="57"/>
      <c r="AB257" s="57"/>
      <c r="AC257" s="57"/>
      <c r="AD257" s="71"/>
      <c r="AE257" s="57"/>
      <c r="AF257" s="57"/>
      <c r="AG257" s="57"/>
      <c r="AH257" s="57"/>
      <c r="AI257" s="57"/>
      <c r="AJ257" s="57"/>
      <c r="AK257" s="57"/>
      <c r="AL257" s="57"/>
      <c r="AM257" s="71"/>
      <c r="AN257" s="57"/>
      <c r="AO257" s="57"/>
      <c r="AP257" s="57"/>
      <c r="AQ257" s="57"/>
      <c r="AR257" s="57"/>
      <c r="AS257" s="57"/>
      <c r="AT257" s="57"/>
      <c r="AU257" s="57"/>
      <c r="AV257" s="71"/>
      <c r="AW257" s="57"/>
      <c r="AX257" s="55"/>
      <c r="AY257" s="55"/>
      <c r="AZ257" s="55"/>
      <c r="BA257" s="55"/>
      <c r="BB257" s="55"/>
      <c r="BC257" s="55"/>
      <c r="BD257" s="57"/>
      <c r="BE257" s="65"/>
      <c r="BF257" s="55"/>
      <c r="BG257" s="55"/>
      <c r="BH257" s="55"/>
      <c r="BI257" s="55"/>
      <c r="BJ257" s="55"/>
      <c r="BK257" s="55"/>
      <c r="BL257" s="55"/>
      <c r="BM257" s="55"/>
    </row>
    <row r="258" spans="1:65">
      <c r="A258" s="12" t="str">
        <f>Roster!A258</f>
        <v/>
      </c>
      <c r="B258" s="28">
        <f>Roster!C258</f>
        <v>0</v>
      </c>
      <c r="C258" s="55"/>
      <c r="D258" s="56"/>
      <c r="E258" s="57"/>
      <c r="F258" s="57"/>
      <c r="G258" s="57"/>
      <c r="H258" s="57"/>
      <c r="I258" s="57"/>
      <c r="J258" s="57"/>
      <c r="K258" s="45"/>
      <c r="L258" s="58"/>
      <c r="M258" s="56"/>
      <c r="N258" s="57"/>
      <c r="O258" s="57"/>
      <c r="P258" s="57"/>
      <c r="Q258" s="57"/>
      <c r="R258" s="57"/>
      <c r="S258" s="57"/>
      <c r="T258" s="45"/>
      <c r="U258" s="71"/>
      <c r="V258" s="57"/>
      <c r="W258" s="57"/>
      <c r="X258" s="57"/>
      <c r="Y258" s="57"/>
      <c r="Z258" s="57"/>
      <c r="AA258" s="57"/>
      <c r="AB258" s="57"/>
      <c r="AC258" s="57"/>
      <c r="AD258" s="71"/>
      <c r="AE258" s="57"/>
      <c r="AF258" s="57"/>
      <c r="AG258" s="57"/>
      <c r="AH258" s="57"/>
      <c r="AI258" s="57"/>
      <c r="AJ258" s="57"/>
      <c r="AK258" s="57"/>
      <c r="AL258" s="57"/>
      <c r="AM258" s="71"/>
      <c r="AN258" s="57"/>
      <c r="AO258" s="57"/>
      <c r="AP258" s="57"/>
      <c r="AQ258" s="57"/>
      <c r="AR258" s="57"/>
      <c r="AS258" s="57"/>
      <c r="AT258" s="57"/>
      <c r="AU258" s="57"/>
      <c r="AV258" s="71"/>
      <c r="AW258" s="57"/>
      <c r="AX258" s="55"/>
      <c r="AY258" s="55"/>
      <c r="AZ258" s="55"/>
      <c r="BA258" s="55"/>
      <c r="BB258" s="55"/>
      <c r="BC258" s="55"/>
      <c r="BD258" s="57"/>
      <c r="BE258" s="65"/>
      <c r="BF258" s="55"/>
      <c r="BG258" s="55"/>
      <c r="BH258" s="55"/>
      <c r="BI258" s="55"/>
      <c r="BJ258" s="55"/>
      <c r="BK258" s="55"/>
      <c r="BL258" s="55"/>
      <c r="BM258" s="55"/>
    </row>
    <row r="259" spans="1:65">
      <c r="A259" s="12" t="str">
        <f>Roster!A259</f>
        <v/>
      </c>
      <c r="B259" s="28">
        <f>Roster!C259</f>
        <v>0</v>
      </c>
      <c r="C259" s="55"/>
      <c r="D259" s="56"/>
      <c r="E259" s="57"/>
      <c r="F259" s="57"/>
      <c r="G259" s="57"/>
      <c r="H259" s="57"/>
      <c r="I259" s="57"/>
      <c r="J259" s="57"/>
      <c r="K259" s="45"/>
      <c r="L259" s="58"/>
      <c r="M259" s="56"/>
      <c r="N259" s="57"/>
      <c r="O259" s="57"/>
      <c r="P259" s="57"/>
      <c r="Q259" s="57"/>
      <c r="R259" s="57"/>
      <c r="S259" s="57"/>
      <c r="T259" s="45"/>
      <c r="U259" s="71"/>
      <c r="V259" s="57"/>
      <c r="W259" s="57"/>
      <c r="X259" s="57"/>
      <c r="Y259" s="57"/>
      <c r="Z259" s="57"/>
      <c r="AA259" s="57"/>
      <c r="AB259" s="57"/>
      <c r="AC259" s="57"/>
      <c r="AD259" s="71"/>
      <c r="AE259" s="57"/>
      <c r="AF259" s="57"/>
      <c r="AG259" s="57"/>
      <c r="AH259" s="57"/>
      <c r="AI259" s="57"/>
      <c r="AJ259" s="57"/>
      <c r="AK259" s="57"/>
      <c r="AL259" s="57"/>
      <c r="AM259" s="71"/>
      <c r="AN259" s="57"/>
      <c r="AO259" s="57"/>
      <c r="AP259" s="57"/>
      <c r="AQ259" s="57"/>
      <c r="AR259" s="57"/>
      <c r="AS259" s="57"/>
      <c r="AT259" s="57"/>
      <c r="AU259" s="57"/>
      <c r="AV259" s="71"/>
      <c r="AW259" s="57"/>
      <c r="AX259" s="55"/>
      <c r="AY259" s="55"/>
      <c r="AZ259" s="55"/>
      <c r="BA259" s="55"/>
      <c r="BB259" s="55"/>
      <c r="BC259" s="55"/>
      <c r="BD259" s="57"/>
      <c r="BE259" s="65"/>
      <c r="BF259" s="55"/>
      <c r="BG259" s="55"/>
      <c r="BH259" s="55"/>
      <c r="BI259" s="55"/>
      <c r="BJ259" s="55"/>
      <c r="BK259" s="55"/>
      <c r="BL259" s="55"/>
      <c r="BM259" s="55"/>
    </row>
    <row r="260" spans="1:65">
      <c r="A260" s="12" t="str">
        <f>Roster!A260</f>
        <v/>
      </c>
      <c r="B260" s="28">
        <f>Roster!C260</f>
        <v>0</v>
      </c>
      <c r="C260" s="55"/>
      <c r="D260" s="56"/>
      <c r="E260" s="57"/>
      <c r="F260" s="57"/>
      <c r="G260" s="57"/>
      <c r="H260" s="57"/>
      <c r="I260" s="57"/>
      <c r="J260" s="57"/>
      <c r="K260" s="45"/>
      <c r="L260" s="58"/>
      <c r="M260" s="56"/>
      <c r="N260" s="57"/>
      <c r="O260" s="57"/>
      <c r="P260" s="57"/>
      <c r="Q260" s="57"/>
      <c r="R260" s="57"/>
      <c r="S260" s="57"/>
      <c r="T260" s="45"/>
      <c r="U260" s="71"/>
      <c r="V260" s="57"/>
      <c r="W260" s="57"/>
      <c r="X260" s="57"/>
      <c r="Y260" s="57"/>
      <c r="Z260" s="57"/>
      <c r="AA260" s="57"/>
      <c r="AB260" s="57"/>
      <c r="AC260" s="57"/>
      <c r="AD260" s="71"/>
      <c r="AE260" s="57"/>
      <c r="AF260" s="57"/>
      <c r="AG260" s="57"/>
      <c r="AH260" s="57"/>
      <c r="AI260" s="57"/>
      <c r="AJ260" s="57"/>
      <c r="AK260" s="57"/>
      <c r="AL260" s="57"/>
      <c r="AM260" s="71"/>
      <c r="AN260" s="57"/>
      <c r="AO260" s="57"/>
      <c r="AP260" s="57"/>
      <c r="AQ260" s="57"/>
      <c r="AR260" s="57"/>
      <c r="AS260" s="57"/>
      <c r="AT260" s="57"/>
      <c r="AU260" s="57"/>
      <c r="AV260" s="71"/>
      <c r="AW260" s="57"/>
      <c r="AX260" s="55"/>
      <c r="AY260" s="55"/>
      <c r="AZ260" s="55"/>
      <c r="BA260" s="55"/>
      <c r="BB260" s="55"/>
      <c r="BC260" s="55"/>
      <c r="BD260" s="57"/>
      <c r="BE260" s="65"/>
      <c r="BF260" s="55"/>
      <c r="BG260" s="55"/>
      <c r="BH260" s="55"/>
      <c r="BI260" s="55"/>
      <c r="BJ260" s="55"/>
      <c r="BK260" s="55"/>
      <c r="BL260" s="55"/>
      <c r="BM260" s="55"/>
    </row>
    <row r="261" spans="1:65">
      <c r="A261" s="12" t="str">
        <f>Roster!A261</f>
        <v/>
      </c>
      <c r="B261" s="28">
        <f>Roster!C261</f>
        <v>0</v>
      </c>
      <c r="C261" s="55"/>
      <c r="D261" s="56"/>
      <c r="E261" s="57"/>
      <c r="F261" s="57"/>
      <c r="G261" s="57"/>
      <c r="H261" s="57"/>
      <c r="I261" s="57"/>
      <c r="J261" s="57"/>
      <c r="K261" s="45"/>
      <c r="L261" s="58"/>
      <c r="M261" s="56"/>
      <c r="N261" s="57"/>
      <c r="O261" s="57"/>
      <c r="P261" s="57"/>
      <c r="Q261" s="57"/>
      <c r="R261" s="57"/>
      <c r="S261" s="57"/>
      <c r="T261" s="45"/>
      <c r="U261" s="71"/>
      <c r="V261" s="57"/>
      <c r="W261" s="57"/>
      <c r="X261" s="57"/>
      <c r="Y261" s="57"/>
      <c r="Z261" s="57"/>
      <c r="AA261" s="57"/>
      <c r="AB261" s="57"/>
      <c r="AC261" s="57"/>
      <c r="AD261" s="71"/>
      <c r="AE261" s="57"/>
      <c r="AF261" s="57"/>
      <c r="AG261" s="57"/>
      <c r="AH261" s="57"/>
      <c r="AI261" s="57"/>
      <c r="AJ261" s="57"/>
      <c r="AK261" s="57"/>
      <c r="AL261" s="57"/>
      <c r="AM261" s="71"/>
      <c r="AN261" s="57"/>
      <c r="AO261" s="57"/>
      <c r="AP261" s="57"/>
      <c r="AQ261" s="57"/>
      <c r="AR261" s="57"/>
      <c r="AS261" s="57"/>
      <c r="AT261" s="57"/>
      <c r="AU261" s="57"/>
      <c r="AV261" s="71"/>
      <c r="AW261" s="57"/>
      <c r="AX261" s="55"/>
      <c r="AY261" s="55"/>
      <c r="AZ261" s="55"/>
      <c r="BA261" s="55"/>
      <c r="BB261" s="55"/>
      <c r="BC261" s="55"/>
      <c r="BD261" s="57"/>
      <c r="BE261" s="65"/>
      <c r="BF261" s="55"/>
      <c r="BG261" s="55"/>
      <c r="BH261" s="55"/>
      <c r="BI261" s="55"/>
      <c r="BJ261" s="55"/>
      <c r="BK261" s="55"/>
      <c r="BL261" s="55"/>
      <c r="BM261" s="55"/>
    </row>
    <row r="262" spans="1:65">
      <c r="A262" s="12" t="str">
        <f>Roster!A262</f>
        <v/>
      </c>
      <c r="B262" s="28">
        <f>Roster!C262</f>
        <v>0</v>
      </c>
      <c r="C262" s="55"/>
      <c r="D262" s="56"/>
      <c r="E262" s="57"/>
      <c r="F262" s="57"/>
      <c r="G262" s="57"/>
      <c r="H262" s="57"/>
      <c r="I262" s="57"/>
      <c r="J262" s="57"/>
      <c r="K262" s="45"/>
      <c r="L262" s="58"/>
      <c r="M262" s="56"/>
      <c r="N262" s="57"/>
      <c r="O262" s="57"/>
      <c r="P262" s="57"/>
      <c r="Q262" s="57"/>
      <c r="R262" s="57"/>
      <c r="S262" s="57"/>
      <c r="T262" s="45"/>
      <c r="U262" s="71"/>
      <c r="V262" s="57"/>
      <c r="W262" s="57"/>
      <c r="X262" s="57"/>
      <c r="Y262" s="57"/>
      <c r="Z262" s="57"/>
      <c r="AA262" s="57"/>
      <c r="AB262" s="57"/>
      <c r="AC262" s="57"/>
      <c r="AD262" s="71"/>
      <c r="AE262" s="57"/>
      <c r="AF262" s="57"/>
      <c r="AG262" s="57"/>
      <c r="AH262" s="57"/>
      <c r="AI262" s="57"/>
      <c r="AJ262" s="57"/>
      <c r="AK262" s="57"/>
      <c r="AL262" s="57"/>
      <c r="AM262" s="71"/>
      <c r="AN262" s="57"/>
      <c r="AO262" s="57"/>
      <c r="AP262" s="57"/>
      <c r="AQ262" s="57"/>
      <c r="AR262" s="57"/>
      <c r="AS262" s="57"/>
      <c r="AT262" s="57"/>
      <c r="AU262" s="57"/>
      <c r="AV262" s="71"/>
      <c r="AW262" s="57"/>
      <c r="AX262" s="55"/>
      <c r="AY262" s="55"/>
      <c r="AZ262" s="55"/>
      <c r="BA262" s="55"/>
      <c r="BB262" s="55"/>
      <c r="BC262" s="55"/>
      <c r="BD262" s="57"/>
      <c r="BE262" s="65"/>
      <c r="BF262" s="55"/>
      <c r="BG262" s="55"/>
      <c r="BH262" s="55"/>
      <c r="BI262" s="55"/>
      <c r="BJ262" s="55"/>
      <c r="BK262" s="55"/>
      <c r="BL262" s="55"/>
      <c r="BM262" s="55"/>
    </row>
    <row r="263" spans="1:65">
      <c r="A263" s="12" t="str">
        <f>Roster!A263</f>
        <v/>
      </c>
      <c r="B263" s="28">
        <f>Roster!C263</f>
        <v>0</v>
      </c>
      <c r="C263" s="55"/>
      <c r="D263" s="56"/>
      <c r="E263" s="57"/>
      <c r="F263" s="57"/>
      <c r="G263" s="57"/>
      <c r="H263" s="57"/>
      <c r="I263" s="57"/>
      <c r="J263" s="57"/>
      <c r="K263" s="45"/>
      <c r="L263" s="58"/>
      <c r="M263" s="56"/>
      <c r="N263" s="57"/>
      <c r="O263" s="57"/>
      <c r="P263" s="57"/>
      <c r="Q263" s="57"/>
      <c r="R263" s="57"/>
      <c r="S263" s="57"/>
      <c r="T263" s="45"/>
      <c r="U263" s="71"/>
      <c r="V263" s="57"/>
      <c r="W263" s="57"/>
      <c r="X263" s="57"/>
      <c r="Y263" s="57"/>
      <c r="Z263" s="57"/>
      <c r="AA263" s="57"/>
      <c r="AB263" s="57"/>
      <c r="AC263" s="57"/>
      <c r="AD263" s="71"/>
      <c r="AE263" s="57"/>
      <c r="AF263" s="57"/>
      <c r="AG263" s="57"/>
      <c r="AH263" s="57"/>
      <c r="AI263" s="57"/>
      <c r="AJ263" s="57"/>
      <c r="AK263" s="57"/>
      <c r="AL263" s="57"/>
      <c r="AM263" s="71"/>
      <c r="AN263" s="57"/>
      <c r="AO263" s="57"/>
      <c r="AP263" s="57"/>
      <c r="AQ263" s="57"/>
      <c r="AR263" s="57"/>
      <c r="AS263" s="57"/>
      <c r="AT263" s="57"/>
      <c r="AU263" s="57"/>
      <c r="AV263" s="71"/>
      <c r="AW263" s="57"/>
      <c r="AX263" s="55"/>
      <c r="AY263" s="55"/>
      <c r="AZ263" s="55"/>
      <c r="BA263" s="55"/>
      <c r="BB263" s="55"/>
      <c r="BC263" s="55"/>
      <c r="BD263" s="57"/>
      <c r="BE263" s="65"/>
      <c r="BF263" s="55"/>
      <c r="BG263" s="55"/>
      <c r="BH263" s="55"/>
      <c r="BI263" s="55"/>
      <c r="BJ263" s="55"/>
      <c r="BK263" s="55"/>
      <c r="BL263" s="55"/>
      <c r="BM263" s="55"/>
    </row>
    <row r="264" spans="1:65">
      <c r="A264" s="12" t="str">
        <f>Roster!A264</f>
        <v/>
      </c>
      <c r="B264" s="28">
        <f>Roster!C264</f>
        <v>0</v>
      </c>
      <c r="C264" s="55"/>
      <c r="D264" s="56"/>
      <c r="E264" s="57"/>
      <c r="F264" s="57"/>
      <c r="G264" s="57"/>
      <c r="H264" s="57"/>
      <c r="I264" s="57"/>
      <c r="J264" s="57"/>
      <c r="K264" s="45"/>
      <c r="L264" s="58"/>
      <c r="M264" s="56"/>
      <c r="N264" s="57"/>
      <c r="O264" s="57"/>
      <c r="P264" s="57"/>
      <c r="Q264" s="57"/>
      <c r="R264" s="57"/>
      <c r="S264" s="57"/>
      <c r="T264" s="45"/>
      <c r="U264" s="71"/>
      <c r="V264" s="57"/>
      <c r="W264" s="57"/>
      <c r="X264" s="57"/>
      <c r="Y264" s="57"/>
      <c r="Z264" s="57"/>
      <c r="AA264" s="57"/>
      <c r="AB264" s="57"/>
      <c r="AC264" s="57"/>
      <c r="AD264" s="71"/>
      <c r="AE264" s="57"/>
      <c r="AF264" s="57"/>
      <c r="AG264" s="57"/>
      <c r="AH264" s="57"/>
      <c r="AI264" s="57"/>
      <c r="AJ264" s="57"/>
      <c r="AK264" s="57"/>
      <c r="AL264" s="57"/>
      <c r="AM264" s="71"/>
      <c r="AN264" s="57"/>
      <c r="AO264" s="57"/>
      <c r="AP264" s="57"/>
      <c r="AQ264" s="57"/>
      <c r="AR264" s="57"/>
      <c r="AS264" s="57"/>
      <c r="AT264" s="57"/>
      <c r="AU264" s="57"/>
      <c r="AV264" s="71"/>
      <c r="AW264" s="57"/>
      <c r="AX264" s="55"/>
      <c r="AY264" s="55"/>
      <c r="AZ264" s="55"/>
      <c r="BA264" s="55"/>
      <c r="BB264" s="55"/>
      <c r="BC264" s="55"/>
      <c r="BD264" s="57"/>
      <c r="BE264" s="65"/>
      <c r="BF264" s="55"/>
      <c r="BG264" s="55"/>
      <c r="BH264" s="55"/>
      <c r="BI264" s="55"/>
      <c r="BJ264" s="55"/>
      <c r="BK264" s="55"/>
      <c r="BL264" s="55"/>
      <c r="BM264" s="55"/>
    </row>
    <row r="265" spans="1:65">
      <c r="A265" s="12" t="str">
        <f>Roster!A265</f>
        <v/>
      </c>
      <c r="B265" s="28">
        <f>Roster!C265</f>
        <v>0</v>
      </c>
      <c r="C265" s="55"/>
      <c r="D265" s="56"/>
      <c r="E265" s="57"/>
      <c r="F265" s="57"/>
      <c r="G265" s="57"/>
      <c r="H265" s="57"/>
      <c r="I265" s="57"/>
      <c r="J265" s="57"/>
      <c r="K265" s="45"/>
      <c r="L265" s="58"/>
      <c r="M265" s="56"/>
      <c r="N265" s="57"/>
      <c r="O265" s="57"/>
      <c r="P265" s="57"/>
      <c r="Q265" s="57"/>
      <c r="R265" s="57"/>
      <c r="S265" s="57"/>
      <c r="T265" s="45"/>
      <c r="U265" s="71"/>
      <c r="V265" s="57"/>
      <c r="W265" s="57"/>
      <c r="X265" s="57"/>
      <c r="Y265" s="57"/>
      <c r="Z265" s="57"/>
      <c r="AA265" s="57"/>
      <c r="AB265" s="57"/>
      <c r="AC265" s="57"/>
      <c r="AD265" s="71"/>
      <c r="AE265" s="57"/>
      <c r="AF265" s="57"/>
      <c r="AG265" s="57"/>
      <c r="AH265" s="57"/>
      <c r="AI265" s="57"/>
      <c r="AJ265" s="57"/>
      <c r="AK265" s="57"/>
      <c r="AL265" s="57"/>
      <c r="AM265" s="71"/>
      <c r="AN265" s="57"/>
      <c r="AO265" s="57"/>
      <c r="AP265" s="57"/>
      <c r="AQ265" s="57"/>
      <c r="AR265" s="57"/>
      <c r="AS265" s="57"/>
      <c r="AT265" s="57"/>
      <c r="AU265" s="57"/>
      <c r="AV265" s="71"/>
      <c r="AW265" s="57"/>
      <c r="AX265" s="55"/>
      <c r="AY265" s="55"/>
      <c r="AZ265" s="55"/>
      <c r="BA265" s="55"/>
      <c r="BB265" s="55"/>
      <c r="BC265" s="55"/>
      <c r="BD265" s="57"/>
      <c r="BE265" s="65"/>
      <c r="BF265" s="55"/>
      <c r="BG265" s="55"/>
      <c r="BH265" s="55"/>
      <c r="BI265" s="55"/>
      <c r="BJ265" s="55"/>
      <c r="BK265" s="55"/>
      <c r="BL265" s="55"/>
      <c r="BM265" s="55"/>
    </row>
    <row r="266" spans="1:65">
      <c r="A266" s="12" t="str">
        <f>Roster!A266</f>
        <v/>
      </c>
      <c r="B266" s="28">
        <f>Roster!C266</f>
        <v>0</v>
      </c>
      <c r="C266" s="55"/>
      <c r="D266" s="56"/>
      <c r="E266" s="57"/>
      <c r="F266" s="57"/>
      <c r="G266" s="57"/>
      <c r="H266" s="57"/>
      <c r="I266" s="57"/>
      <c r="J266" s="57"/>
      <c r="K266" s="45"/>
      <c r="L266" s="58"/>
      <c r="M266" s="56"/>
      <c r="N266" s="57"/>
      <c r="O266" s="57"/>
      <c r="P266" s="57"/>
      <c r="Q266" s="57"/>
      <c r="R266" s="57"/>
      <c r="S266" s="57"/>
      <c r="T266" s="45"/>
      <c r="U266" s="71"/>
      <c r="V266" s="57"/>
      <c r="W266" s="57"/>
      <c r="X266" s="57"/>
      <c r="Y266" s="57"/>
      <c r="Z266" s="57"/>
      <c r="AA266" s="57"/>
      <c r="AB266" s="57"/>
      <c r="AC266" s="57"/>
      <c r="AD266" s="71"/>
      <c r="AE266" s="57"/>
      <c r="AF266" s="57"/>
      <c r="AG266" s="57"/>
      <c r="AH266" s="57"/>
      <c r="AI266" s="57"/>
      <c r="AJ266" s="57"/>
      <c r="AK266" s="57"/>
      <c r="AL266" s="57"/>
      <c r="AM266" s="71"/>
      <c r="AN266" s="57"/>
      <c r="AO266" s="57"/>
      <c r="AP266" s="57"/>
      <c r="AQ266" s="57"/>
      <c r="AR266" s="57"/>
      <c r="AS266" s="57"/>
      <c r="AT266" s="57"/>
      <c r="AU266" s="57"/>
      <c r="AV266" s="71"/>
      <c r="AW266" s="57"/>
      <c r="AX266" s="55"/>
      <c r="AY266" s="55"/>
      <c r="AZ266" s="55"/>
      <c r="BA266" s="55"/>
      <c r="BB266" s="55"/>
      <c r="BC266" s="55"/>
      <c r="BD266" s="57"/>
      <c r="BE266" s="65"/>
      <c r="BF266" s="55"/>
      <c r="BG266" s="55"/>
      <c r="BH266" s="55"/>
      <c r="BI266" s="55"/>
      <c r="BJ266" s="55"/>
      <c r="BK266" s="55"/>
      <c r="BL266" s="55"/>
      <c r="BM266" s="55"/>
    </row>
    <row r="267" spans="1:65">
      <c r="A267" s="12" t="str">
        <f>Roster!A267</f>
        <v/>
      </c>
      <c r="B267" s="28">
        <f>Roster!C267</f>
        <v>0</v>
      </c>
      <c r="C267" s="55"/>
      <c r="D267" s="56"/>
      <c r="E267" s="57"/>
      <c r="F267" s="57"/>
      <c r="G267" s="57"/>
      <c r="H267" s="57"/>
      <c r="I267" s="57"/>
      <c r="J267" s="57"/>
      <c r="K267" s="45"/>
      <c r="L267" s="58"/>
      <c r="M267" s="56"/>
      <c r="N267" s="57"/>
      <c r="O267" s="57"/>
      <c r="P267" s="57"/>
      <c r="Q267" s="57"/>
      <c r="R267" s="57"/>
      <c r="S267" s="57"/>
      <c r="T267" s="45"/>
      <c r="U267" s="71"/>
      <c r="V267" s="57"/>
      <c r="W267" s="57"/>
      <c r="X267" s="57"/>
      <c r="Y267" s="57"/>
      <c r="Z267" s="57"/>
      <c r="AA267" s="57"/>
      <c r="AB267" s="57"/>
      <c r="AC267" s="57"/>
      <c r="AD267" s="71"/>
      <c r="AE267" s="57"/>
      <c r="AF267" s="57"/>
      <c r="AG267" s="57"/>
      <c r="AH267" s="57"/>
      <c r="AI267" s="57"/>
      <c r="AJ267" s="57"/>
      <c r="AK267" s="57"/>
      <c r="AL267" s="57"/>
      <c r="AM267" s="71"/>
      <c r="AN267" s="57"/>
      <c r="AO267" s="57"/>
      <c r="AP267" s="57"/>
      <c r="AQ267" s="57"/>
      <c r="AR267" s="57"/>
      <c r="AS267" s="57"/>
      <c r="AT267" s="57"/>
      <c r="AU267" s="57"/>
      <c r="AV267" s="71"/>
      <c r="AW267" s="57"/>
      <c r="AX267" s="55"/>
      <c r="AY267" s="55"/>
      <c r="AZ267" s="55"/>
      <c r="BA267" s="55"/>
      <c r="BB267" s="55"/>
      <c r="BC267" s="55"/>
      <c r="BD267" s="57"/>
      <c r="BE267" s="65"/>
      <c r="BF267" s="55"/>
      <c r="BG267" s="55"/>
      <c r="BH267" s="55"/>
      <c r="BI267" s="55"/>
      <c r="BJ267" s="55"/>
      <c r="BK267" s="55"/>
      <c r="BL267" s="55"/>
      <c r="BM267" s="55"/>
    </row>
    <row r="268" spans="1:65">
      <c r="A268" s="12" t="str">
        <f>Roster!A268</f>
        <v/>
      </c>
      <c r="B268" s="28">
        <f>Roster!C268</f>
        <v>0</v>
      </c>
      <c r="C268" s="55"/>
      <c r="D268" s="56"/>
      <c r="E268" s="57"/>
      <c r="F268" s="57"/>
      <c r="G268" s="57"/>
      <c r="H268" s="57"/>
      <c r="I268" s="57"/>
      <c r="J268" s="57"/>
      <c r="K268" s="45"/>
      <c r="L268" s="58"/>
      <c r="M268" s="56"/>
      <c r="N268" s="57"/>
      <c r="O268" s="57"/>
      <c r="P268" s="57"/>
      <c r="Q268" s="57"/>
      <c r="R268" s="57"/>
      <c r="S268" s="57"/>
      <c r="T268" s="45"/>
      <c r="U268" s="71"/>
      <c r="V268" s="57"/>
      <c r="W268" s="57"/>
      <c r="X268" s="57"/>
      <c r="Y268" s="57"/>
      <c r="Z268" s="57"/>
      <c r="AA268" s="57"/>
      <c r="AB268" s="57"/>
      <c r="AC268" s="57"/>
      <c r="AD268" s="71"/>
      <c r="AE268" s="57"/>
      <c r="AF268" s="57"/>
      <c r="AG268" s="57"/>
      <c r="AH268" s="57"/>
      <c r="AI268" s="57"/>
      <c r="AJ268" s="57"/>
      <c r="AK268" s="57"/>
      <c r="AL268" s="57"/>
      <c r="AM268" s="71"/>
      <c r="AN268" s="57"/>
      <c r="AO268" s="57"/>
      <c r="AP268" s="57"/>
      <c r="AQ268" s="57"/>
      <c r="AR268" s="57"/>
      <c r="AS268" s="57"/>
      <c r="AT268" s="57"/>
      <c r="AU268" s="57"/>
      <c r="AV268" s="71"/>
      <c r="AW268" s="57"/>
      <c r="AX268" s="55"/>
      <c r="AY268" s="55"/>
      <c r="AZ268" s="55"/>
      <c r="BA268" s="55"/>
      <c r="BB268" s="55"/>
      <c r="BC268" s="55"/>
      <c r="BD268" s="57"/>
      <c r="BE268" s="65"/>
      <c r="BF268" s="55"/>
      <c r="BG268" s="55"/>
      <c r="BH268" s="55"/>
      <c r="BI268" s="55"/>
      <c r="BJ268" s="55"/>
      <c r="BK268" s="55"/>
      <c r="BL268" s="55"/>
      <c r="BM268" s="55"/>
    </row>
    <row r="269" spans="1:65">
      <c r="A269" s="12" t="str">
        <f>Roster!A269</f>
        <v/>
      </c>
      <c r="B269" s="28">
        <f>Roster!C269</f>
        <v>0</v>
      </c>
      <c r="C269" s="55"/>
      <c r="D269" s="56"/>
      <c r="E269" s="57"/>
      <c r="F269" s="57"/>
      <c r="G269" s="57"/>
      <c r="H269" s="57"/>
      <c r="I269" s="57"/>
      <c r="J269" s="57"/>
      <c r="K269" s="45"/>
      <c r="L269" s="58"/>
      <c r="M269" s="56"/>
      <c r="N269" s="57"/>
      <c r="O269" s="57"/>
      <c r="P269" s="57"/>
      <c r="Q269" s="57"/>
      <c r="R269" s="57"/>
      <c r="S269" s="57"/>
      <c r="T269" s="45"/>
      <c r="U269" s="71"/>
      <c r="V269" s="57"/>
      <c r="W269" s="57"/>
      <c r="X269" s="57"/>
      <c r="Y269" s="57"/>
      <c r="Z269" s="57"/>
      <c r="AA269" s="57"/>
      <c r="AB269" s="57"/>
      <c r="AC269" s="57"/>
      <c r="AD269" s="71"/>
      <c r="AE269" s="57"/>
      <c r="AF269" s="57"/>
      <c r="AG269" s="57"/>
      <c r="AH269" s="57"/>
      <c r="AI269" s="57"/>
      <c r="AJ269" s="57"/>
      <c r="AK269" s="57"/>
      <c r="AL269" s="57"/>
      <c r="AM269" s="71"/>
      <c r="AN269" s="57"/>
      <c r="AO269" s="57"/>
      <c r="AP269" s="57"/>
      <c r="AQ269" s="57"/>
      <c r="AR269" s="57"/>
      <c r="AS269" s="57"/>
      <c r="AT269" s="57"/>
      <c r="AU269" s="57"/>
      <c r="AV269" s="71"/>
      <c r="AW269" s="57"/>
      <c r="AX269" s="55"/>
      <c r="AY269" s="55"/>
      <c r="AZ269" s="55"/>
      <c r="BA269" s="55"/>
      <c r="BB269" s="55"/>
      <c r="BC269" s="55"/>
      <c r="BD269" s="57"/>
      <c r="BE269" s="65"/>
      <c r="BF269" s="55"/>
      <c r="BG269" s="55"/>
      <c r="BH269" s="55"/>
      <c r="BI269" s="55"/>
      <c r="BJ269" s="55"/>
      <c r="BK269" s="55"/>
      <c r="BL269" s="55"/>
      <c r="BM269" s="55"/>
    </row>
    <row r="270" spans="1:65">
      <c r="A270" s="12" t="str">
        <f>Roster!A270</f>
        <v/>
      </c>
      <c r="B270" s="28">
        <f>Roster!C270</f>
        <v>0</v>
      </c>
      <c r="C270" s="55"/>
      <c r="D270" s="56"/>
      <c r="E270" s="57"/>
      <c r="F270" s="57"/>
      <c r="G270" s="57"/>
      <c r="H270" s="57"/>
      <c r="I270" s="57"/>
      <c r="J270" s="57"/>
      <c r="K270" s="45"/>
      <c r="L270" s="58"/>
      <c r="M270" s="56"/>
      <c r="N270" s="57"/>
      <c r="O270" s="57"/>
      <c r="P270" s="57"/>
      <c r="Q270" s="57"/>
      <c r="R270" s="57"/>
      <c r="S270" s="57"/>
      <c r="T270" s="45"/>
      <c r="U270" s="71"/>
      <c r="V270" s="57"/>
      <c r="W270" s="57"/>
      <c r="X270" s="57"/>
      <c r="Y270" s="57"/>
      <c r="Z270" s="57"/>
      <c r="AA270" s="57"/>
      <c r="AB270" s="57"/>
      <c r="AC270" s="57"/>
      <c r="AD270" s="71"/>
      <c r="AE270" s="57"/>
      <c r="AF270" s="57"/>
      <c r="AG270" s="57"/>
      <c r="AH270" s="57"/>
      <c r="AI270" s="57"/>
      <c r="AJ270" s="57"/>
      <c r="AK270" s="57"/>
      <c r="AL270" s="57"/>
      <c r="AM270" s="71"/>
      <c r="AN270" s="57"/>
      <c r="AO270" s="57"/>
      <c r="AP270" s="57"/>
      <c r="AQ270" s="57"/>
      <c r="AR270" s="57"/>
      <c r="AS270" s="57"/>
      <c r="AT270" s="57"/>
      <c r="AU270" s="57"/>
      <c r="AV270" s="71"/>
      <c r="AW270" s="57"/>
      <c r="AX270" s="55"/>
      <c r="AY270" s="55"/>
      <c r="AZ270" s="55"/>
      <c r="BA270" s="55"/>
      <c r="BB270" s="55"/>
      <c r="BC270" s="55"/>
      <c r="BD270" s="57"/>
      <c r="BE270" s="65"/>
      <c r="BF270" s="55"/>
      <c r="BG270" s="55"/>
      <c r="BH270" s="55"/>
      <c r="BI270" s="55"/>
      <c r="BJ270" s="55"/>
      <c r="BK270" s="55"/>
      <c r="BL270" s="55"/>
      <c r="BM270" s="55"/>
    </row>
    <row r="271" spans="1:65">
      <c r="A271" s="12" t="str">
        <f>Roster!A271</f>
        <v/>
      </c>
      <c r="B271" s="28">
        <f>Roster!C271</f>
        <v>0</v>
      </c>
      <c r="C271" s="55"/>
      <c r="D271" s="56"/>
      <c r="E271" s="57"/>
      <c r="F271" s="57"/>
      <c r="G271" s="57"/>
      <c r="H271" s="57"/>
      <c r="I271" s="57"/>
      <c r="J271" s="57"/>
      <c r="K271" s="45"/>
      <c r="L271" s="58"/>
      <c r="M271" s="56"/>
      <c r="N271" s="57"/>
      <c r="O271" s="57"/>
      <c r="P271" s="57"/>
      <c r="Q271" s="57"/>
      <c r="R271" s="57"/>
      <c r="S271" s="57"/>
      <c r="T271" s="45"/>
      <c r="U271" s="71"/>
      <c r="V271" s="57"/>
      <c r="W271" s="57"/>
      <c r="X271" s="57"/>
      <c r="Y271" s="57"/>
      <c r="Z271" s="57"/>
      <c r="AA271" s="57"/>
      <c r="AB271" s="57"/>
      <c r="AC271" s="57"/>
      <c r="AD271" s="71"/>
      <c r="AE271" s="57"/>
      <c r="AF271" s="57"/>
      <c r="AG271" s="57"/>
      <c r="AH271" s="57"/>
      <c r="AI271" s="57"/>
      <c r="AJ271" s="57"/>
      <c r="AK271" s="57"/>
      <c r="AL271" s="57"/>
      <c r="AM271" s="71"/>
      <c r="AN271" s="57"/>
      <c r="AO271" s="57"/>
      <c r="AP271" s="57"/>
      <c r="AQ271" s="57"/>
      <c r="AR271" s="57"/>
      <c r="AS271" s="57"/>
      <c r="AT271" s="57"/>
      <c r="AU271" s="57"/>
      <c r="AV271" s="71"/>
      <c r="AW271" s="57"/>
      <c r="AX271" s="55"/>
      <c r="AY271" s="55"/>
      <c r="AZ271" s="55"/>
      <c r="BA271" s="55"/>
      <c r="BB271" s="55"/>
      <c r="BC271" s="55"/>
      <c r="BD271" s="57"/>
      <c r="BE271" s="65"/>
      <c r="BF271" s="55"/>
      <c r="BG271" s="55"/>
      <c r="BH271" s="55"/>
      <c r="BI271" s="55"/>
      <c r="BJ271" s="55"/>
      <c r="BK271" s="55"/>
      <c r="BL271" s="55"/>
      <c r="BM271" s="55"/>
    </row>
    <row r="272" spans="1:65">
      <c r="A272" s="12" t="str">
        <f>Roster!A272</f>
        <v/>
      </c>
      <c r="B272" s="28">
        <f>Roster!C272</f>
        <v>0</v>
      </c>
      <c r="C272" s="55"/>
      <c r="D272" s="56"/>
      <c r="E272" s="57"/>
      <c r="F272" s="57"/>
      <c r="G272" s="57"/>
      <c r="H272" s="57"/>
      <c r="I272" s="57"/>
      <c r="J272" s="57"/>
      <c r="K272" s="45"/>
      <c r="L272" s="58"/>
      <c r="M272" s="56"/>
      <c r="N272" s="57"/>
      <c r="O272" s="57"/>
      <c r="P272" s="57"/>
      <c r="Q272" s="57"/>
      <c r="R272" s="57"/>
      <c r="S272" s="57"/>
      <c r="T272" s="45"/>
      <c r="U272" s="71"/>
      <c r="V272" s="57"/>
      <c r="W272" s="57"/>
      <c r="X272" s="57"/>
      <c r="Y272" s="57"/>
      <c r="Z272" s="57"/>
      <c r="AA272" s="57"/>
      <c r="AB272" s="57"/>
      <c r="AC272" s="57"/>
      <c r="AD272" s="71"/>
      <c r="AE272" s="57"/>
      <c r="AF272" s="57"/>
      <c r="AG272" s="57"/>
      <c r="AH272" s="57"/>
      <c r="AI272" s="57"/>
      <c r="AJ272" s="57"/>
      <c r="AK272" s="57"/>
      <c r="AL272" s="57"/>
      <c r="AM272" s="71"/>
      <c r="AN272" s="57"/>
      <c r="AO272" s="57"/>
      <c r="AP272" s="57"/>
      <c r="AQ272" s="57"/>
      <c r="AR272" s="57"/>
      <c r="AS272" s="57"/>
      <c r="AT272" s="57"/>
      <c r="AU272" s="57"/>
      <c r="AV272" s="71"/>
      <c r="AW272" s="57"/>
      <c r="AX272" s="55"/>
      <c r="AY272" s="55"/>
      <c r="AZ272" s="55"/>
      <c r="BA272" s="55"/>
      <c r="BB272" s="55"/>
      <c r="BC272" s="55"/>
      <c r="BD272" s="57"/>
      <c r="BE272" s="65"/>
      <c r="BF272" s="55"/>
      <c r="BG272" s="55"/>
      <c r="BH272" s="55"/>
      <c r="BI272" s="55"/>
      <c r="BJ272" s="55"/>
      <c r="BK272" s="55"/>
      <c r="BL272" s="55"/>
      <c r="BM272" s="55"/>
    </row>
    <row r="273" spans="1:65">
      <c r="A273" s="12" t="str">
        <f>Roster!A273</f>
        <v/>
      </c>
      <c r="B273" s="28">
        <f>Roster!C273</f>
        <v>0</v>
      </c>
      <c r="C273" s="55"/>
      <c r="D273" s="56"/>
      <c r="E273" s="57"/>
      <c r="F273" s="57"/>
      <c r="G273" s="57"/>
      <c r="H273" s="57"/>
      <c r="I273" s="57"/>
      <c r="J273" s="57"/>
      <c r="K273" s="45"/>
      <c r="L273" s="58"/>
      <c r="M273" s="56"/>
      <c r="N273" s="57"/>
      <c r="O273" s="57"/>
      <c r="P273" s="57"/>
      <c r="Q273" s="57"/>
      <c r="R273" s="57"/>
      <c r="S273" s="57"/>
      <c r="T273" s="45"/>
      <c r="U273" s="71"/>
      <c r="V273" s="57"/>
      <c r="W273" s="57"/>
      <c r="X273" s="57"/>
      <c r="Y273" s="57"/>
      <c r="Z273" s="57"/>
      <c r="AA273" s="57"/>
      <c r="AB273" s="57"/>
      <c r="AC273" s="57"/>
      <c r="AD273" s="71"/>
      <c r="AE273" s="57"/>
      <c r="AF273" s="57"/>
      <c r="AG273" s="57"/>
      <c r="AH273" s="57"/>
      <c r="AI273" s="57"/>
      <c r="AJ273" s="57"/>
      <c r="AK273" s="57"/>
      <c r="AL273" s="57"/>
      <c r="AM273" s="71"/>
      <c r="AN273" s="57"/>
      <c r="AO273" s="57"/>
      <c r="AP273" s="57"/>
      <c r="AQ273" s="57"/>
      <c r="AR273" s="57"/>
      <c r="AS273" s="57"/>
      <c r="AT273" s="57"/>
      <c r="AU273" s="57"/>
      <c r="AV273" s="71"/>
      <c r="AW273" s="57"/>
      <c r="AX273" s="55"/>
      <c r="AY273" s="55"/>
      <c r="AZ273" s="55"/>
      <c r="BA273" s="55"/>
      <c r="BB273" s="55"/>
      <c r="BC273" s="55"/>
      <c r="BD273" s="57"/>
      <c r="BE273" s="65"/>
      <c r="BF273" s="55"/>
      <c r="BG273" s="55"/>
      <c r="BH273" s="55"/>
      <c r="BI273" s="55"/>
      <c r="BJ273" s="55"/>
      <c r="BK273" s="55"/>
      <c r="BL273" s="55"/>
      <c r="BM273" s="55"/>
    </row>
    <row r="274" spans="1:65">
      <c r="A274" s="12" t="str">
        <f>Roster!A274</f>
        <v/>
      </c>
      <c r="B274" s="28">
        <f>Roster!C274</f>
        <v>0</v>
      </c>
      <c r="C274" s="55"/>
      <c r="D274" s="56"/>
      <c r="E274" s="57"/>
      <c r="F274" s="57"/>
      <c r="G274" s="57"/>
      <c r="H274" s="57"/>
      <c r="I274" s="57"/>
      <c r="J274" s="57"/>
      <c r="K274" s="45"/>
      <c r="L274" s="58"/>
      <c r="M274" s="56"/>
      <c r="N274" s="57"/>
      <c r="O274" s="57"/>
      <c r="P274" s="57"/>
      <c r="Q274" s="57"/>
      <c r="R274" s="57"/>
      <c r="S274" s="57"/>
      <c r="T274" s="45"/>
      <c r="U274" s="71"/>
      <c r="V274" s="57"/>
      <c r="W274" s="57"/>
      <c r="X274" s="57"/>
      <c r="Y274" s="57"/>
      <c r="Z274" s="57"/>
      <c r="AA274" s="57"/>
      <c r="AB274" s="57"/>
      <c r="AC274" s="57"/>
      <c r="AD274" s="71"/>
      <c r="AE274" s="57"/>
      <c r="AF274" s="57"/>
      <c r="AG274" s="57"/>
      <c r="AH274" s="57"/>
      <c r="AI274" s="57"/>
      <c r="AJ274" s="57"/>
      <c r="AK274" s="57"/>
      <c r="AL274" s="57"/>
      <c r="AM274" s="71"/>
      <c r="AN274" s="57"/>
      <c r="AO274" s="57"/>
      <c r="AP274" s="57"/>
      <c r="AQ274" s="57"/>
      <c r="AR274" s="57"/>
      <c r="AS274" s="57"/>
      <c r="AT274" s="57"/>
      <c r="AU274" s="57"/>
      <c r="AV274" s="71"/>
      <c r="AW274" s="57"/>
      <c r="AX274" s="55"/>
      <c r="AY274" s="55"/>
      <c r="AZ274" s="55"/>
      <c r="BA274" s="55"/>
      <c r="BB274" s="55"/>
      <c r="BC274" s="55"/>
      <c r="BD274" s="57"/>
      <c r="BE274" s="65"/>
      <c r="BF274" s="55"/>
      <c r="BG274" s="55"/>
      <c r="BH274" s="55"/>
      <c r="BI274" s="55"/>
      <c r="BJ274" s="55"/>
      <c r="BK274" s="55"/>
      <c r="BL274" s="55"/>
      <c r="BM274" s="55"/>
    </row>
    <row r="275" spans="1:65">
      <c r="A275" s="12" t="str">
        <f>Roster!A275</f>
        <v/>
      </c>
      <c r="B275" s="28">
        <f>Roster!C275</f>
        <v>0</v>
      </c>
      <c r="C275" s="55"/>
      <c r="D275" s="56"/>
      <c r="E275" s="57"/>
      <c r="F275" s="57"/>
      <c r="G275" s="57"/>
      <c r="H275" s="57"/>
      <c r="I275" s="57"/>
      <c r="J275" s="57"/>
      <c r="K275" s="45"/>
      <c r="L275" s="58"/>
      <c r="M275" s="56"/>
      <c r="N275" s="57"/>
      <c r="O275" s="57"/>
      <c r="P275" s="57"/>
      <c r="Q275" s="57"/>
      <c r="R275" s="57"/>
      <c r="S275" s="57"/>
      <c r="T275" s="45"/>
      <c r="U275" s="71"/>
      <c r="V275" s="57"/>
      <c r="W275" s="57"/>
      <c r="X275" s="57"/>
      <c r="Y275" s="57"/>
      <c r="Z275" s="57"/>
      <c r="AA275" s="57"/>
      <c r="AB275" s="57"/>
      <c r="AC275" s="57"/>
      <c r="AD275" s="71"/>
      <c r="AE275" s="57"/>
      <c r="AF275" s="57"/>
      <c r="AG275" s="57"/>
      <c r="AH275" s="57"/>
      <c r="AI275" s="57"/>
      <c r="AJ275" s="57"/>
      <c r="AK275" s="57"/>
      <c r="AL275" s="57"/>
      <c r="AM275" s="71"/>
      <c r="AN275" s="57"/>
      <c r="AO275" s="57"/>
      <c r="AP275" s="57"/>
      <c r="AQ275" s="57"/>
      <c r="AR275" s="57"/>
      <c r="AS275" s="57"/>
      <c r="AT275" s="57"/>
      <c r="AU275" s="57"/>
      <c r="AV275" s="71"/>
      <c r="AW275" s="57"/>
      <c r="AX275" s="55"/>
      <c r="AY275" s="55"/>
      <c r="AZ275" s="55"/>
      <c r="BA275" s="55"/>
      <c r="BB275" s="55"/>
      <c r="BC275" s="55"/>
      <c r="BD275" s="57"/>
      <c r="BE275" s="65"/>
      <c r="BF275" s="55"/>
      <c r="BG275" s="55"/>
      <c r="BH275" s="55"/>
      <c r="BI275" s="55"/>
      <c r="BJ275" s="55"/>
      <c r="BK275" s="55"/>
      <c r="BL275" s="55"/>
      <c r="BM275" s="55"/>
    </row>
    <row r="276" spans="1:65">
      <c r="A276" s="12" t="str">
        <f>Roster!A276</f>
        <v/>
      </c>
      <c r="B276" s="28">
        <f>Roster!C276</f>
        <v>0</v>
      </c>
      <c r="C276" s="55"/>
      <c r="D276" s="56"/>
      <c r="E276" s="57"/>
      <c r="F276" s="57"/>
      <c r="G276" s="57"/>
      <c r="H276" s="57"/>
      <c r="I276" s="57"/>
      <c r="J276" s="57"/>
      <c r="K276" s="45"/>
      <c r="L276" s="58"/>
      <c r="M276" s="56"/>
      <c r="N276" s="57"/>
      <c r="O276" s="57"/>
      <c r="P276" s="57"/>
      <c r="Q276" s="57"/>
      <c r="R276" s="57"/>
      <c r="S276" s="57"/>
      <c r="T276" s="45"/>
      <c r="U276" s="71"/>
      <c r="V276" s="57"/>
      <c r="W276" s="57"/>
      <c r="X276" s="57"/>
      <c r="Y276" s="57"/>
      <c r="Z276" s="57"/>
      <c r="AA276" s="57"/>
      <c r="AB276" s="57"/>
      <c r="AC276" s="57"/>
      <c r="AD276" s="71"/>
      <c r="AE276" s="57"/>
      <c r="AF276" s="57"/>
      <c r="AG276" s="57"/>
      <c r="AH276" s="57"/>
      <c r="AI276" s="57"/>
      <c r="AJ276" s="57"/>
      <c r="AK276" s="57"/>
      <c r="AL276" s="57"/>
      <c r="AM276" s="71"/>
      <c r="AN276" s="57"/>
      <c r="AO276" s="57"/>
      <c r="AP276" s="57"/>
      <c r="AQ276" s="57"/>
      <c r="AR276" s="57"/>
      <c r="AS276" s="57"/>
      <c r="AT276" s="57"/>
      <c r="AU276" s="57"/>
      <c r="AV276" s="71"/>
      <c r="AW276" s="57"/>
      <c r="AX276" s="55"/>
      <c r="AY276" s="55"/>
      <c r="AZ276" s="55"/>
      <c r="BA276" s="55"/>
      <c r="BB276" s="55"/>
      <c r="BC276" s="55"/>
      <c r="BD276" s="57"/>
      <c r="BE276" s="65"/>
      <c r="BF276" s="55"/>
      <c r="BG276" s="55"/>
      <c r="BH276" s="55"/>
      <c r="BI276" s="55"/>
      <c r="BJ276" s="55"/>
      <c r="BK276" s="55"/>
      <c r="BL276" s="55"/>
      <c r="BM276" s="55"/>
    </row>
    <row r="277" spans="1:65">
      <c r="A277" s="12" t="str">
        <f>Roster!A277</f>
        <v/>
      </c>
      <c r="B277" s="28">
        <f>Roster!C277</f>
        <v>0</v>
      </c>
      <c r="C277" s="55"/>
      <c r="D277" s="56"/>
      <c r="E277" s="57"/>
      <c r="F277" s="57"/>
      <c r="G277" s="57"/>
      <c r="H277" s="57"/>
      <c r="I277" s="57"/>
      <c r="J277" s="57"/>
      <c r="K277" s="45"/>
      <c r="L277" s="58"/>
      <c r="M277" s="56"/>
      <c r="N277" s="57"/>
      <c r="O277" s="57"/>
      <c r="P277" s="57"/>
      <c r="Q277" s="57"/>
      <c r="R277" s="57"/>
      <c r="S277" s="57"/>
      <c r="T277" s="45"/>
      <c r="U277" s="71"/>
      <c r="V277" s="57"/>
      <c r="W277" s="57"/>
      <c r="X277" s="57"/>
      <c r="Y277" s="57"/>
      <c r="Z277" s="57"/>
      <c r="AA277" s="57"/>
      <c r="AB277" s="57"/>
      <c r="AC277" s="57"/>
      <c r="AD277" s="71"/>
      <c r="AE277" s="57"/>
      <c r="AF277" s="57"/>
      <c r="AG277" s="57"/>
      <c r="AH277" s="57"/>
      <c r="AI277" s="57"/>
      <c r="AJ277" s="57"/>
      <c r="AK277" s="57"/>
      <c r="AL277" s="57"/>
      <c r="AM277" s="71"/>
      <c r="AN277" s="57"/>
      <c r="AO277" s="57"/>
      <c r="AP277" s="57"/>
      <c r="AQ277" s="57"/>
      <c r="AR277" s="57"/>
      <c r="AS277" s="57"/>
      <c r="AT277" s="57"/>
      <c r="AU277" s="57"/>
      <c r="AV277" s="71"/>
      <c r="AW277" s="57"/>
      <c r="AX277" s="55"/>
      <c r="AY277" s="55"/>
      <c r="AZ277" s="55"/>
      <c r="BA277" s="55"/>
      <c r="BB277" s="55"/>
      <c r="BC277" s="55"/>
      <c r="BD277" s="57"/>
      <c r="BE277" s="65"/>
      <c r="BF277" s="55"/>
      <c r="BG277" s="55"/>
      <c r="BH277" s="55"/>
      <c r="BI277" s="55"/>
      <c r="BJ277" s="55"/>
      <c r="BK277" s="55"/>
      <c r="BL277" s="55"/>
      <c r="BM277" s="55"/>
    </row>
    <row r="278" spans="1:65">
      <c r="A278" s="12" t="str">
        <f>Roster!A278</f>
        <v/>
      </c>
      <c r="B278" s="28">
        <f>Roster!C278</f>
        <v>0</v>
      </c>
      <c r="C278" s="55"/>
      <c r="D278" s="56"/>
      <c r="E278" s="57"/>
      <c r="F278" s="57"/>
      <c r="G278" s="57"/>
      <c r="H278" s="57"/>
      <c r="I278" s="57"/>
      <c r="J278" s="57"/>
      <c r="K278" s="45"/>
      <c r="L278" s="58"/>
      <c r="M278" s="56"/>
      <c r="N278" s="57"/>
      <c r="O278" s="57"/>
      <c r="P278" s="57"/>
      <c r="Q278" s="57"/>
      <c r="R278" s="57"/>
      <c r="S278" s="57"/>
      <c r="T278" s="45"/>
      <c r="U278" s="71"/>
      <c r="V278" s="57"/>
      <c r="W278" s="57"/>
      <c r="X278" s="57"/>
      <c r="Y278" s="57"/>
      <c r="Z278" s="57"/>
      <c r="AA278" s="57"/>
      <c r="AB278" s="57"/>
      <c r="AC278" s="57"/>
      <c r="AD278" s="71"/>
      <c r="AE278" s="57"/>
      <c r="AF278" s="57"/>
      <c r="AG278" s="57"/>
      <c r="AH278" s="57"/>
      <c r="AI278" s="57"/>
      <c r="AJ278" s="57"/>
      <c r="AK278" s="57"/>
      <c r="AL278" s="57"/>
      <c r="AM278" s="71"/>
      <c r="AN278" s="57"/>
      <c r="AO278" s="57"/>
      <c r="AP278" s="57"/>
      <c r="AQ278" s="57"/>
      <c r="AR278" s="57"/>
      <c r="AS278" s="57"/>
      <c r="AT278" s="57"/>
      <c r="AU278" s="57"/>
      <c r="AV278" s="71"/>
      <c r="AW278" s="57"/>
      <c r="AX278" s="55"/>
      <c r="AY278" s="55"/>
      <c r="AZ278" s="55"/>
      <c r="BA278" s="55"/>
      <c r="BB278" s="55"/>
      <c r="BC278" s="55"/>
      <c r="BD278" s="57"/>
      <c r="BE278" s="65"/>
      <c r="BF278" s="55"/>
      <c r="BG278" s="55"/>
      <c r="BH278" s="55"/>
      <c r="BI278" s="55"/>
      <c r="BJ278" s="55"/>
      <c r="BK278" s="55"/>
      <c r="BL278" s="55"/>
      <c r="BM278" s="55"/>
    </row>
    <row r="279" spans="1:65">
      <c r="A279" s="12" t="str">
        <f>Roster!A279</f>
        <v/>
      </c>
      <c r="B279" s="28">
        <f>Roster!C279</f>
        <v>0</v>
      </c>
      <c r="C279" s="55"/>
      <c r="D279" s="56"/>
      <c r="E279" s="57"/>
      <c r="F279" s="57"/>
      <c r="G279" s="57"/>
      <c r="H279" s="57"/>
      <c r="I279" s="57"/>
      <c r="J279" s="57"/>
      <c r="K279" s="45"/>
      <c r="L279" s="58"/>
      <c r="M279" s="56"/>
      <c r="N279" s="57"/>
      <c r="O279" s="57"/>
      <c r="P279" s="57"/>
      <c r="Q279" s="57"/>
      <c r="R279" s="57"/>
      <c r="S279" s="57"/>
      <c r="T279" s="45"/>
      <c r="U279" s="71"/>
      <c r="V279" s="57"/>
      <c r="W279" s="57"/>
      <c r="X279" s="57"/>
      <c r="Y279" s="57"/>
      <c r="Z279" s="57"/>
      <c r="AA279" s="57"/>
      <c r="AB279" s="57"/>
      <c r="AC279" s="57"/>
      <c r="AD279" s="71"/>
      <c r="AE279" s="57"/>
      <c r="AF279" s="57"/>
      <c r="AG279" s="57"/>
      <c r="AH279" s="57"/>
      <c r="AI279" s="57"/>
      <c r="AJ279" s="57"/>
      <c r="AK279" s="57"/>
      <c r="AL279" s="57"/>
      <c r="AM279" s="71"/>
      <c r="AN279" s="57"/>
      <c r="AO279" s="57"/>
      <c r="AP279" s="57"/>
      <c r="AQ279" s="57"/>
      <c r="AR279" s="57"/>
      <c r="AS279" s="57"/>
      <c r="AT279" s="57"/>
      <c r="AU279" s="57"/>
      <c r="AV279" s="71"/>
      <c r="AW279" s="57"/>
      <c r="AX279" s="55"/>
      <c r="AY279" s="55"/>
      <c r="AZ279" s="55"/>
      <c r="BA279" s="55"/>
      <c r="BB279" s="55"/>
      <c r="BC279" s="55"/>
      <c r="BD279" s="57"/>
      <c r="BE279" s="65"/>
      <c r="BF279" s="55"/>
      <c r="BG279" s="55"/>
      <c r="BH279" s="55"/>
      <c r="BI279" s="55"/>
      <c r="BJ279" s="55"/>
      <c r="BK279" s="55"/>
      <c r="BL279" s="55"/>
      <c r="BM279" s="55"/>
    </row>
    <row r="280" spans="1:65">
      <c r="A280" s="12" t="str">
        <f>Roster!A280</f>
        <v/>
      </c>
      <c r="B280" s="28">
        <f>Roster!C280</f>
        <v>0</v>
      </c>
      <c r="C280" s="55"/>
      <c r="D280" s="56"/>
      <c r="E280" s="57"/>
      <c r="F280" s="57"/>
      <c r="G280" s="57"/>
      <c r="H280" s="57"/>
      <c r="I280" s="57"/>
      <c r="J280" s="57"/>
      <c r="K280" s="45"/>
      <c r="L280" s="58"/>
      <c r="M280" s="56"/>
      <c r="N280" s="57"/>
      <c r="O280" s="57"/>
      <c r="P280" s="57"/>
      <c r="Q280" s="57"/>
      <c r="R280" s="57"/>
      <c r="S280" s="57"/>
      <c r="T280" s="45"/>
      <c r="U280" s="71"/>
      <c r="V280" s="57"/>
      <c r="W280" s="57"/>
      <c r="X280" s="57"/>
      <c r="Y280" s="57"/>
      <c r="Z280" s="57"/>
      <c r="AA280" s="57"/>
      <c r="AB280" s="57"/>
      <c r="AC280" s="57"/>
      <c r="AD280" s="71"/>
      <c r="AE280" s="57"/>
      <c r="AF280" s="57"/>
      <c r="AG280" s="57"/>
      <c r="AH280" s="57"/>
      <c r="AI280" s="57"/>
      <c r="AJ280" s="57"/>
      <c r="AK280" s="57"/>
      <c r="AL280" s="57"/>
      <c r="AM280" s="71"/>
      <c r="AN280" s="57"/>
      <c r="AO280" s="57"/>
      <c r="AP280" s="57"/>
      <c r="AQ280" s="57"/>
      <c r="AR280" s="57"/>
      <c r="AS280" s="57"/>
      <c r="AT280" s="57"/>
      <c r="AU280" s="57"/>
      <c r="AV280" s="71"/>
      <c r="AW280" s="57"/>
      <c r="AX280" s="55"/>
      <c r="AY280" s="55"/>
      <c r="AZ280" s="55"/>
      <c r="BA280" s="55"/>
      <c r="BB280" s="55"/>
      <c r="BC280" s="55"/>
      <c r="BD280" s="57"/>
      <c r="BE280" s="65"/>
      <c r="BF280" s="55"/>
      <c r="BG280" s="55"/>
      <c r="BH280" s="55"/>
      <c r="BI280" s="55"/>
      <c r="BJ280" s="55"/>
      <c r="BK280" s="55"/>
      <c r="BL280" s="55"/>
      <c r="BM280" s="55"/>
    </row>
    <row r="281" spans="1:65">
      <c r="A281" s="12" t="str">
        <f>Roster!A281</f>
        <v/>
      </c>
      <c r="B281" s="28">
        <f>Roster!C281</f>
        <v>0</v>
      </c>
      <c r="C281" s="55"/>
      <c r="D281" s="56"/>
      <c r="E281" s="57"/>
      <c r="F281" s="57"/>
      <c r="G281" s="57"/>
      <c r="H281" s="57"/>
      <c r="I281" s="57"/>
      <c r="J281" s="57"/>
      <c r="K281" s="45"/>
      <c r="L281" s="58"/>
      <c r="M281" s="56"/>
      <c r="N281" s="57"/>
      <c r="O281" s="57"/>
      <c r="P281" s="57"/>
      <c r="Q281" s="57"/>
      <c r="R281" s="57"/>
      <c r="S281" s="57"/>
      <c r="T281" s="45"/>
      <c r="U281" s="71"/>
      <c r="V281" s="57"/>
      <c r="W281" s="57"/>
      <c r="X281" s="57"/>
      <c r="Y281" s="57"/>
      <c r="Z281" s="57"/>
      <c r="AA281" s="57"/>
      <c r="AB281" s="57"/>
      <c r="AC281" s="57"/>
      <c r="AD281" s="71"/>
      <c r="AE281" s="57"/>
      <c r="AF281" s="57"/>
      <c r="AG281" s="57"/>
      <c r="AH281" s="57"/>
      <c r="AI281" s="57"/>
      <c r="AJ281" s="57"/>
      <c r="AK281" s="57"/>
      <c r="AL281" s="57"/>
      <c r="AM281" s="71"/>
      <c r="AN281" s="57"/>
      <c r="AO281" s="57"/>
      <c r="AP281" s="57"/>
      <c r="AQ281" s="57"/>
      <c r="AR281" s="57"/>
      <c r="AS281" s="57"/>
      <c r="AT281" s="57"/>
      <c r="AU281" s="57"/>
      <c r="AV281" s="71"/>
      <c r="AW281" s="57"/>
      <c r="AX281" s="55"/>
      <c r="AY281" s="55"/>
      <c r="AZ281" s="55"/>
      <c r="BA281" s="55"/>
      <c r="BB281" s="55"/>
      <c r="BC281" s="55"/>
      <c r="BD281" s="57"/>
      <c r="BE281" s="65"/>
      <c r="BF281" s="55"/>
      <c r="BG281" s="55"/>
      <c r="BH281" s="55"/>
      <c r="BI281" s="55"/>
      <c r="BJ281" s="55"/>
      <c r="BK281" s="55"/>
      <c r="BL281" s="55"/>
      <c r="BM281" s="55"/>
    </row>
    <row r="282" spans="1:65">
      <c r="A282" s="12" t="str">
        <f>Roster!A282</f>
        <v/>
      </c>
      <c r="B282" s="28">
        <f>Roster!C282</f>
        <v>0</v>
      </c>
      <c r="C282" s="55"/>
      <c r="D282" s="56"/>
      <c r="E282" s="57"/>
      <c r="F282" s="57"/>
      <c r="G282" s="57"/>
      <c r="H282" s="57"/>
      <c r="I282" s="57"/>
      <c r="J282" s="57"/>
      <c r="K282" s="45"/>
      <c r="L282" s="58"/>
      <c r="M282" s="56"/>
      <c r="N282" s="57"/>
      <c r="O282" s="57"/>
      <c r="P282" s="57"/>
      <c r="Q282" s="57"/>
      <c r="R282" s="57"/>
      <c r="S282" s="57"/>
      <c r="T282" s="45"/>
      <c r="U282" s="71"/>
      <c r="V282" s="57"/>
      <c r="W282" s="57"/>
      <c r="X282" s="57"/>
      <c r="Y282" s="57"/>
      <c r="Z282" s="57"/>
      <c r="AA282" s="57"/>
      <c r="AB282" s="57"/>
      <c r="AC282" s="57"/>
      <c r="AD282" s="71"/>
      <c r="AE282" s="57"/>
      <c r="AF282" s="57"/>
      <c r="AG282" s="57"/>
      <c r="AH282" s="57"/>
      <c r="AI282" s="57"/>
      <c r="AJ282" s="57"/>
      <c r="AK282" s="57"/>
      <c r="AL282" s="57"/>
      <c r="AM282" s="71"/>
      <c r="AN282" s="57"/>
      <c r="AO282" s="57"/>
      <c r="AP282" s="57"/>
      <c r="AQ282" s="57"/>
      <c r="AR282" s="57"/>
      <c r="AS282" s="57"/>
      <c r="AT282" s="57"/>
      <c r="AU282" s="57"/>
      <c r="AV282" s="71"/>
      <c r="AW282" s="57"/>
      <c r="AX282" s="55"/>
      <c r="AY282" s="55"/>
      <c r="AZ282" s="55"/>
      <c r="BA282" s="55"/>
      <c r="BB282" s="55"/>
      <c r="BC282" s="55"/>
      <c r="BD282" s="57"/>
      <c r="BE282" s="65"/>
      <c r="BF282" s="55"/>
      <c r="BG282" s="55"/>
      <c r="BH282" s="55"/>
      <c r="BI282" s="55"/>
      <c r="BJ282" s="55"/>
      <c r="BK282" s="55"/>
      <c r="BL282" s="55"/>
      <c r="BM282" s="55"/>
    </row>
    <row r="283" spans="1:65">
      <c r="A283" s="12" t="str">
        <f>Roster!A283</f>
        <v/>
      </c>
      <c r="B283" s="28">
        <f>Roster!C283</f>
        <v>0</v>
      </c>
      <c r="C283" s="55"/>
      <c r="D283" s="56"/>
      <c r="E283" s="57"/>
      <c r="F283" s="57"/>
      <c r="G283" s="57"/>
      <c r="H283" s="57"/>
      <c r="I283" s="57"/>
      <c r="J283" s="57"/>
      <c r="K283" s="45"/>
      <c r="L283" s="58"/>
      <c r="M283" s="56"/>
      <c r="N283" s="57"/>
      <c r="O283" s="57"/>
      <c r="P283" s="57"/>
      <c r="Q283" s="57"/>
      <c r="R283" s="57"/>
      <c r="S283" s="57"/>
      <c r="T283" s="45"/>
      <c r="U283" s="71"/>
      <c r="V283" s="57"/>
      <c r="W283" s="57"/>
      <c r="X283" s="57"/>
      <c r="Y283" s="57"/>
      <c r="Z283" s="57"/>
      <c r="AA283" s="57"/>
      <c r="AB283" s="57"/>
      <c r="AC283" s="57"/>
      <c r="AD283" s="71"/>
      <c r="AE283" s="57"/>
      <c r="AF283" s="57"/>
      <c r="AG283" s="57"/>
      <c r="AH283" s="57"/>
      <c r="AI283" s="57"/>
      <c r="AJ283" s="57"/>
      <c r="AK283" s="57"/>
      <c r="AL283" s="57"/>
      <c r="AM283" s="71"/>
      <c r="AN283" s="57"/>
      <c r="AO283" s="57"/>
      <c r="AP283" s="57"/>
      <c r="AQ283" s="57"/>
      <c r="AR283" s="57"/>
      <c r="AS283" s="57"/>
      <c r="AT283" s="57"/>
      <c r="AU283" s="57"/>
      <c r="AV283" s="71"/>
      <c r="AW283" s="57"/>
      <c r="AX283" s="55"/>
      <c r="AY283" s="55"/>
      <c r="AZ283" s="55"/>
      <c r="BA283" s="55"/>
      <c r="BB283" s="55"/>
      <c r="BC283" s="55"/>
      <c r="BD283" s="57"/>
      <c r="BE283" s="65"/>
      <c r="BF283" s="55"/>
      <c r="BG283" s="55"/>
      <c r="BH283" s="55"/>
      <c r="BI283" s="55"/>
      <c r="BJ283" s="55"/>
      <c r="BK283" s="55"/>
      <c r="BL283" s="55"/>
      <c r="BM283" s="55"/>
    </row>
    <row r="284" spans="1:65">
      <c r="A284" s="12" t="str">
        <f>Roster!A284</f>
        <v/>
      </c>
      <c r="B284" s="28">
        <f>Roster!C284</f>
        <v>0</v>
      </c>
      <c r="C284" s="55"/>
      <c r="D284" s="56"/>
      <c r="E284" s="57"/>
      <c r="F284" s="57"/>
      <c r="G284" s="57"/>
      <c r="H284" s="57"/>
      <c r="I284" s="57"/>
      <c r="J284" s="57"/>
      <c r="K284" s="45"/>
      <c r="L284" s="58"/>
      <c r="M284" s="56"/>
      <c r="N284" s="57"/>
      <c r="O284" s="57"/>
      <c r="P284" s="57"/>
      <c r="Q284" s="57"/>
      <c r="R284" s="57"/>
      <c r="S284" s="57"/>
      <c r="T284" s="45"/>
      <c r="U284" s="71"/>
      <c r="V284" s="57"/>
      <c r="W284" s="57"/>
      <c r="X284" s="57"/>
      <c r="Y284" s="57"/>
      <c r="Z284" s="57"/>
      <c r="AA284" s="57"/>
      <c r="AB284" s="57"/>
      <c r="AC284" s="57"/>
      <c r="AD284" s="71"/>
      <c r="AE284" s="57"/>
      <c r="AF284" s="57"/>
      <c r="AG284" s="57"/>
      <c r="AH284" s="57"/>
      <c r="AI284" s="57"/>
      <c r="AJ284" s="57"/>
      <c r="AK284" s="57"/>
      <c r="AL284" s="57"/>
      <c r="AM284" s="71"/>
      <c r="AN284" s="57"/>
      <c r="AO284" s="57"/>
      <c r="AP284" s="57"/>
      <c r="AQ284" s="57"/>
      <c r="AR284" s="57"/>
      <c r="AS284" s="57"/>
      <c r="AT284" s="57"/>
      <c r="AU284" s="57"/>
      <c r="AV284" s="71"/>
      <c r="AW284" s="57"/>
      <c r="AX284" s="55"/>
      <c r="AY284" s="55"/>
      <c r="AZ284" s="55"/>
      <c r="BA284" s="55"/>
      <c r="BB284" s="55"/>
      <c r="BC284" s="55"/>
      <c r="BD284" s="57"/>
      <c r="BE284" s="65"/>
      <c r="BF284" s="55"/>
      <c r="BG284" s="55"/>
      <c r="BH284" s="55"/>
      <c r="BI284" s="55"/>
      <c r="BJ284" s="55"/>
      <c r="BK284" s="55"/>
      <c r="BL284" s="55"/>
      <c r="BM284" s="55"/>
    </row>
    <row r="285" spans="1:65">
      <c r="A285" s="12" t="str">
        <f>Roster!A285</f>
        <v/>
      </c>
      <c r="B285" s="28">
        <f>Roster!C285</f>
        <v>0</v>
      </c>
      <c r="C285" s="55"/>
      <c r="D285" s="56"/>
      <c r="E285" s="57"/>
      <c r="F285" s="57"/>
      <c r="G285" s="57"/>
      <c r="H285" s="57"/>
      <c r="I285" s="57"/>
      <c r="J285" s="57"/>
      <c r="K285" s="45"/>
      <c r="L285" s="58"/>
      <c r="M285" s="56"/>
      <c r="N285" s="57"/>
      <c r="O285" s="57"/>
      <c r="P285" s="57"/>
      <c r="Q285" s="57"/>
      <c r="R285" s="57"/>
      <c r="S285" s="57"/>
      <c r="T285" s="45"/>
      <c r="U285" s="71"/>
      <c r="V285" s="57"/>
      <c r="W285" s="57"/>
      <c r="X285" s="57"/>
      <c r="Y285" s="57"/>
      <c r="Z285" s="57"/>
      <c r="AA285" s="57"/>
      <c r="AB285" s="57"/>
      <c r="AC285" s="57"/>
      <c r="AD285" s="71"/>
      <c r="AE285" s="57"/>
      <c r="AF285" s="57"/>
      <c r="AG285" s="57"/>
      <c r="AH285" s="57"/>
      <c r="AI285" s="57"/>
      <c r="AJ285" s="57"/>
      <c r="AK285" s="57"/>
      <c r="AL285" s="57"/>
      <c r="AM285" s="71"/>
      <c r="AN285" s="57"/>
      <c r="AO285" s="57"/>
      <c r="AP285" s="57"/>
      <c r="AQ285" s="57"/>
      <c r="AR285" s="57"/>
      <c r="AS285" s="57"/>
      <c r="AT285" s="57"/>
      <c r="AU285" s="57"/>
      <c r="AV285" s="71"/>
      <c r="AW285" s="57"/>
      <c r="AX285" s="55"/>
      <c r="AY285" s="55"/>
      <c r="AZ285" s="55"/>
      <c r="BA285" s="55"/>
      <c r="BB285" s="55"/>
      <c r="BC285" s="55"/>
      <c r="BD285" s="57"/>
      <c r="BE285" s="65"/>
      <c r="BF285" s="55"/>
      <c r="BG285" s="55"/>
      <c r="BH285" s="55"/>
      <c r="BI285" s="55"/>
      <c r="BJ285" s="55"/>
      <c r="BK285" s="55"/>
      <c r="BL285" s="55"/>
      <c r="BM285" s="55"/>
    </row>
    <row r="286" spans="1:65">
      <c r="A286" s="12" t="str">
        <f>Roster!A286</f>
        <v/>
      </c>
      <c r="B286" s="28">
        <f>Roster!C286</f>
        <v>0</v>
      </c>
      <c r="C286" s="55"/>
      <c r="D286" s="56"/>
      <c r="E286" s="57"/>
      <c r="F286" s="57"/>
      <c r="G286" s="57"/>
      <c r="H286" s="57"/>
      <c r="I286" s="57"/>
      <c r="J286" s="57"/>
      <c r="K286" s="45"/>
      <c r="L286" s="58"/>
      <c r="M286" s="56"/>
      <c r="N286" s="57"/>
      <c r="O286" s="57"/>
      <c r="P286" s="57"/>
      <c r="Q286" s="57"/>
      <c r="R286" s="57"/>
      <c r="S286" s="57"/>
      <c r="T286" s="45"/>
      <c r="U286" s="71"/>
      <c r="V286" s="57"/>
      <c r="W286" s="57"/>
      <c r="X286" s="57"/>
      <c r="Y286" s="57"/>
      <c r="Z286" s="57"/>
      <c r="AA286" s="57"/>
      <c r="AB286" s="57"/>
      <c r="AC286" s="57"/>
      <c r="AD286" s="71"/>
      <c r="AE286" s="57"/>
      <c r="AF286" s="57"/>
      <c r="AG286" s="57"/>
      <c r="AH286" s="57"/>
      <c r="AI286" s="57"/>
      <c r="AJ286" s="57"/>
      <c r="AK286" s="57"/>
      <c r="AL286" s="57"/>
      <c r="AM286" s="71"/>
      <c r="AN286" s="57"/>
      <c r="AO286" s="57"/>
      <c r="AP286" s="57"/>
      <c r="AQ286" s="57"/>
      <c r="AR286" s="57"/>
      <c r="AS286" s="57"/>
      <c r="AT286" s="57"/>
      <c r="AU286" s="57"/>
      <c r="AV286" s="71"/>
      <c r="AW286" s="57"/>
      <c r="AX286" s="55"/>
      <c r="AY286" s="55"/>
      <c r="AZ286" s="55"/>
      <c r="BA286" s="55"/>
      <c r="BB286" s="55"/>
      <c r="BC286" s="55"/>
      <c r="BD286" s="57"/>
      <c r="BE286" s="65"/>
      <c r="BF286" s="55"/>
      <c r="BG286" s="55"/>
      <c r="BH286" s="55"/>
      <c r="BI286" s="55"/>
      <c r="BJ286" s="55"/>
      <c r="BK286" s="55"/>
      <c r="BL286" s="55"/>
      <c r="BM286" s="55"/>
    </row>
    <row r="287" spans="1:65">
      <c r="A287" s="12" t="str">
        <f>Roster!A287</f>
        <v/>
      </c>
      <c r="B287" s="28">
        <f>Roster!C287</f>
        <v>0</v>
      </c>
      <c r="C287" s="55"/>
      <c r="D287" s="56"/>
      <c r="E287" s="57"/>
      <c r="F287" s="57"/>
      <c r="G287" s="57"/>
      <c r="H287" s="57"/>
      <c r="I287" s="57"/>
      <c r="J287" s="57"/>
      <c r="K287" s="45"/>
      <c r="L287" s="58"/>
      <c r="M287" s="56"/>
      <c r="N287" s="57"/>
      <c r="O287" s="57"/>
      <c r="P287" s="57"/>
      <c r="Q287" s="57"/>
      <c r="R287" s="57"/>
      <c r="S287" s="57"/>
      <c r="T287" s="45"/>
      <c r="U287" s="71"/>
      <c r="V287" s="57"/>
      <c r="W287" s="57"/>
      <c r="X287" s="57"/>
      <c r="Y287" s="57"/>
      <c r="Z287" s="57"/>
      <c r="AA287" s="57"/>
      <c r="AB287" s="57"/>
      <c r="AC287" s="57"/>
      <c r="AD287" s="71"/>
      <c r="AE287" s="57"/>
      <c r="AF287" s="57"/>
      <c r="AG287" s="57"/>
      <c r="AH287" s="57"/>
      <c r="AI287" s="57"/>
      <c r="AJ287" s="57"/>
      <c r="AK287" s="57"/>
      <c r="AL287" s="57"/>
      <c r="AM287" s="71"/>
      <c r="AN287" s="57"/>
      <c r="AO287" s="57"/>
      <c r="AP287" s="57"/>
      <c r="AQ287" s="57"/>
      <c r="AR287" s="57"/>
      <c r="AS287" s="57"/>
      <c r="AT287" s="57"/>
      <c r="AU287" s="57"/>
      <c r="AV287" s="71"/>
      <c r="AW287" s="57"/>
      <c r="AX287" s="55"/>
      <c r="AY287" s="55"/>
      <c r="AZ287" s="55"/>
      <c r="BA287" s="55"/>
      <c r="BB287" s="55"/>
      <c r="BC287" s="55"/>
      <c r="BD287" s="57"/>
      <c r="BE287" s="65"/>
      <c r="BF287" s="55"/>
      <c r="BG287" s="55"/>
      <c r="BH287" s="55"/>
      <c r="BI287" s="55"/>
      <c r="BJ287" s="55"/>
      <c r="BK287" s="55"/>
      <c r="BL287" s="55"/>
      <c r="BM287" s="55"/>
    </row>
    <row r="288" spans="1:65">
      <c r="A288" s="12" t="str">
        <f>Roster!A288</f>
        <v/>
      </c>
      <c r="B288" s="28">
        <f>Roster!C288</f>
        <v>0</v>
      </c>
      <c r="C288" s="55"/>
      <c r="D288" s="56"/>
      <c r="E288" s="57"/>
      <c r="F288" s="57"/>
      <c r="G288" s="57"/>
      <c r="H288" s="57"/>
      <c r="I288" s="57"/>
      <c r="J288" s="57"/>
      <c r="K288" s="45"/>
      <c r="L288" s="58"/>
      <c r="M288" s="56"/>
      <c r="N288" s="57"/>
      <c r="O288" s="57"/>
      <c r="P288" s="57"/>
      <c r="Q288" s="57"/>
      <c r="R288" s="57"/>
      <c r="S288" s="57"/>
      <c r="T288" s="45"/>
      <c r="U288" s="71"/>
      <c r="V288" s="57"/>
      <c r="W288" s="57"/>
      <c r="X288" s="57"/>
      <c r="Y288" s="57"/>
      <c r="Z288" s="57"/>
      <c r="AA288" s="57"/>
      <c r="AB288" s="57"/>
      <c r="AC288" s="57"/>
      <c r="AD288" s="71"/>
      <c r="AE288" s="57"/>
      <c r="AF288" s="57"/>
      <c r="AG288" s="57"/>
      <c r="AH288" s="57"/>
      <c r="AI288" s="57"/>
      <c r="AJ288" s="57"/>
      <c r="AK288" s="57"/>
      <c r="AL288" s="57"/>
      <c r="AM288" s="71"/>
      <c r="AN288" s="57"/>
      <c r="AO288" s="57"/>
      <c r="AP288" s="57"/>
      <c r="AQ288" s="57"/>
      <c r="AR288" s="57"/>
      <c r="AS288" s="57"/>
      <c r="AT288" s="57"/>
      <c r="AU288" s="57"/>
      <c r="AV288" s="71"/>
      <c r="AW288" s="57"/>
      <c r="AX288" s="55"/>
      <c r="AY288" s="55"/>
      <c r="AZ288" s="55"/>
      <c r="BA288" s="55"/>
      <c r="BB288" s="55"/>
      <c r="BC288" s="55"/>
      <c r="BD288" s="57"/>
      <c r="BE288" s="65"/>
      <c r="BF288" s="55"/>
      <c r="BG288" s="55"/>
      <c r="BH288" s="55"/>
      <c r="BI288" s="55"/>
      <c r="BJ288" s="55"/>
      <c r="BK288" s="55"/>
      <c r="BL288" s="55"/>
      <c r="BM288" s="55"/>
    </row>
    <row r="289" spans="1:65">
      <c r="A289" s="12" t="str">
        <f>Roster!A289</f>
        <v/>
      </c>
      <c r="B289" s="28">
        <f>Roster!C289</f>
        <v>0</v>
      </c>
      <c r="C289" s="55"/>
      <c r="D289" s="56"/>
      <c r="E289" s="57"/>
      <c r="F289" s="57"/>
      <c r="G289" s="57"/>
      <c r="H289" s="57"/>
      <c r="I289" s="57"/>
      <c r="J289" s="57"/>
      <c r="K289" s="45"/>
      <c r="L289" s="58"/>
      <c r="M289" s="56"/>
      <c r="N289" s="57"/>
      <c r="O289" s="57"/>
      <c r="P289" s="57"/>
      <c r="Q289" s="57"/>
      <c r="R289" s="57"/>
      <c r="S289" s="57"/>
      <c r="T289" s="45"/>
      <c r="U289" s="71"/>
      <c r="V289" s="57"/>
      <c r="W289" s="57"/>
      <c r="X289" s="57"/>
      <c r="Y289" s="57"/>
      <c r="Z289" s="57"/>
      <c r="AA289" s="57"/>
      <c r="AB289" s="57"/>
      <c r="AC289" s="57"/>
      <c r="AD289" s="71"/>
      <c r="AE289" s="57"/>
      <c r="AF289" s="57"/>
      <c r="AG289" s="57"/>
      <c r="AH289" s="57"/>
      <c r="AI289" s="57"/>
      <c r="AJ289" s="57"/>
      <c r="AK289" s="57"/>
      <c r="AL289" s="57"/>
      <c r="AM289" s="71"/>
      <c r="AN289" s="57"/>
      <c r="AO289" s="57"/>
      <c r="AP289" s="57"/>
      <c r="AQ289" s="57"/>
      <c r="AR289" s="57"/>
      <c r="AS289" s="57"/>
      <c r="AT289" s="57"/>
      <c r="AU289" s="57"/>
      <c r="AV289" s="71"/>
      <c r="AW289" s="57"/>
      <c r="AX289" s="55"/>
      <c r="AY289" s="55"/>
      <c r="AZ289" s="55"/>
      <c r="BA289" s="55"/>
      <c r="BB289" s="55"/>
      <c r="BC289" s="55"/>
      <c r="BD289" s="57"/>
      <c r="BE289" s="65"/>
      <c r="BF289" s="55"/>
      <c r="BG289" s="55"/>
      <c r="BH289" s="55"/>
      <c r="BI289" s="55"/>
      <c r="BJ289" s="55"/>
      <c r="BK289" s="55"/>
      <c r="BL289" s="55"/>
      <c r="BM289" s="55"/>
    </row>
    <row r="290" spans="1:65">
      <c r="A290" s="12" t="str">
        <f>Roster!A290</f>
        <v/>
      </c>
      <c r="B290" s="28">
        <f>Roster!C290</f>
        <v>0</v>
      </c>
      <c r="C290" s="55"/>
      <c r="D290" s="56"/>
      <c r="E290" s="57"/>
      <c r="F290" s="57"/>
      <c r="G290" s="57"/>
      <c r="H290" s="57"/>
      <c r="I290" s="57"/>
      <c r="J290" s="57"/>
      <c r="K290" s="45"/>
      <c r="L290" s="58"/>
      <c r="M290" s="56"/>
      <c r="N290" s="57"/>
      <c r="O290" s="57"/>
      <c r="P290" s="57"/>
      <c r="Q290" s="57"/>
      <c r="R290" s="57"/>
      <c r="S290" s="57"/>
      <c r="T290" s="45"/>
      <c r="U290" s="71"/>
      <c r="V290" s="57"/>
      <c r="W290" s="57"/>
      <c r="X290" s="57"/>
      <c r="Y290" s="57"/>
      <c r="Z290" s="57"/>
      <c r="AA290" s="57"/>
      <c r="AB290" s="57"/>
      <c r="AC290" s="57"/>
      <c r="AD290" s="71"/>
      <c r="AE290" s="57"/>
      <c r="AF290" s="57"/>
      <c r="AG290" s="57"/>
      <c r="AH290" s="57"/>
      <c r="AI290" s="57"/>
      <c r="AJ290" s="57"/>
      <c r="AK290" s="57"/>
      <c r="AL290" s="57"/>
      <c r="AM290" s="71"/>
      <c r="AN290" s="57"/>
      <c r="AO290" s="57"/>
      <c r="AP290" s="57"/>
      <c r="AQ290" s="57"/>
      <c r="AR290" s="57"/>
      <c r="AS290" s="57"/>
      <c r="AT290" s="57"/>
      <c r="AU290" s="57"/>
      <c r="AV290" s="71"/>
      <c r="AW290" s="57"/>
      <c r="AX290" s="55"/>
      <c r="AY290" s="55"/>
      <c r="AZ290" s="55"/>
      <c r="BA290" s="55"/>
      <c r="BB290" s="55"/>
      <c r="BC290" s="55"/>
      <c r="BD290" s="57"/>
      <c r="BE290" s="65"/>
      <c r="BF290" s="55"/>
      <c r="BG290" s="55"/>
      <c r="BH290" s="55"/>
      <c r="BI290" s="55"/>
      <c r="BJ290" s="55"/>
      <c r="BK290" s="55"/>
      <c r="BL290" s="55"/>
      <c r="BM290" s="55"/>
    </row>
    <row r="291" spans="1:65">
      <c r="A291" s="12" t="str">
        <f>Roster!A291</f>
        <v/>
      </c>
      <c r="B291" s="28">
        <f>Roster!C291</f>
        <v>0</v>
      </c>
      <c r="C291" s="55"/>
      <c r="D291" s="56"/>
      <c r="E291" s="57"/>
      <c r="F291" s="57"/>
      <c r="G291" s="57"/>
      <c r="H291" s="57"/>
      <c r="I291" s="57"/>
      <c r="J291" s="57"/>
      <c r="K291" s="45"/>
      <c r="L291" s="58"/>
      <c r="M291" s="56"/>
      <c r="N291" s="57"/>
      <c r="O291" s="57"/>
      <c r="P291" s="57"/>
      <c r="Q291" s="57"/>
      <c r="R291" s="57"/>
      <c r="S291" s="57"/>
      <c r="T291" s="45"/>
      <c r="U291" s="71"/>
      <c r="V291" s="57"/>
      <c r="W291" s="57"/>
      <c r="X291" s="57"/>
      <c r="Y291" s="57"/>
      <c r="Z291" s="57"/>
      <c r="AA291" s="57"/>
      <c r="AB291" s="57"/>
      <c r="AC291" s="57"/>
      <c r="AD291" s="71"/>
      <c r="AE291" s="57"/>
      <c r="AF291" s="57"/>
      <c r="AG291" s="57"/>
      <c r="AH291" s="57"/>
      <c r="AI291" s="57"/>
      <c r="AJ291" s="57"/>
      <c r="AK291" s="57"/>
      <c r="AL291" s="57"/>
      <c r="AM291" s="71"/>
      <c r="AN291" s="57"/>
      <c r="AO291" s="57"/>
      <c r="AP291" s="57"/>
      <c r="AQ291" s="57"/>
      <c r="AR291" s="57"/>
      <c r="AS291" s="57"/>
      <c r="AT291" s="57"/>
      <c r="AU291" s="57"/>
      <c r="AV291" s="71"/>
      <c r="AW291" s="57"/>
      <c r="AX291" s="55"/>
      <c r="AY291" s="55"/>
      <c r="AZ291" s="55"/>
      <c r="BA291" s="55"/>
      <c r="BB291" s="55"/>
      <c r="BC291" s="55"/>
      <c r="BD291" s="57"/>
      <c r="BE291" s="65"/>
      <c r="BF291" s="55"/>
      <c r="BG291" s="55"/>
      <c r="BH291" s="55"/>
      <c r="BI291" s="55"/>
      <c r="BJ291" s="55"/>
      <c r="BK291" s="55"/>
      <c r="BL291" s="55"/>
      <c r="BM291" s="55"/>
    </row>
    <row r="292" spans="1:65">
      <c r="A292" s="12" t="str">
        <f>Roster!A292</f>
        <v/>
      </c>
      <c r="B292" s="28">
        <f>Roster!C292</f>
        <v>0</v>
      </c>
      <c r="C292" s="55"/>
      <c r="D292" s="56"/>
      <c r="E292" s="57"/>
      <c r="F292" s="57"/>
      <c r="G292" s="57"/>
      <c r="H292" s="57"/>
      <c r="I292" s="57"/>
      <c r="J292" s="57"/>
      <c r="K292" s="45"/>
      <c r="L292" s="58"/>
      <c r="M292" s="56"/>
      <c r="N292" s="57"/>
      <c r="O292" s="57"/>
      <c r="P292" s="57"/>
      <c r="Q292" s="57"/>
      <c r="R292" s="57"/>
      <c r="S292" s="57"/>
      <c r="T292" s="45"/>
      <c r="U292" s="71"/>
      <c r="V292" s="57"/>
      <c r="W292" s="57"/>
      <c r="X292" s="57"/>
      <c r="Y292" s="57"/>
      <c r="Z292" s="57"/>
      <c r="AA292" s="57"/>
      <c r="AB292" s="57"/>
      <c r="AC292" s="57"/>
      <c r="AD292" s="71"/>
      <c r="AE292" s="57"/>
      <c r="AF292" s="57"/>
      <c r="AG292" s="57"/>
      <c r="AH292" s="57"/>
      <c r="AI292" s="57"/>
      <c r="AJ292" s="57"/>
      <c r="AK292" s="57"/>
      <c r="AL292" s="57"/>
      <c r="AM292" s="71"/>
      <c r="AN292" s="57"/>
      <c r="AO292" s="57"/>
      <c r="AP292" s="57"/>
      <c r="AQ292" s="57"/>
      <c r="AR292" s="57"/>
      <c r="AS292" s="57"/>
      <c r="AT292" s="57"/>
      <c r="AU292" s="57"/>
      <c r="AV292" s="71"/>
      <c r="AW292" s="57"/>
      <c r="AX292" s="55"/>
      <c r="AY292" s="55"/>
      <c r="AZ292" s="55"/>
      <c r="BA292" s="55"/>
      <c r="BB292" s="55"/>
      <c r="BC292" s="55"/>
      <c r="BD292" s="57"/>
      <c r="BE292" s="65"/>
      <c r="BF292" s="55"/>
      <c r="BG292" s="55"/>
      <c r="BH292" s="55"/>
      <c r="BI292" s="55"/>
      <c r="BJ292" s="55"/>
      <c r="BK292" s="55"/>
      <c r="BL292" s="55"/>
      <c r="BM292" s="55"/>
    </row>
    <row r="293" spans="1:65">
      <c r="A293" s="12" t="str">
        <f>Roster!A293</f>
        <v/>
      </c>
      <c r="B293" s="28">
        <f>Roster!C293</f>
        <v>0</v>
      </c>
      <c r="C293" s="55"/>
      <c r="D293" s="56"/>
      <c r="E293" s="57"/>
      <c r="F293" s="57"/>
      <c r="G293" s="57"/>
      <c r="H293" s="57"/>
      <c r="I293" s="57"/>
      <c r="J293" s="57"/>
      <c r="K293" s="45"/>
      <c r="L293" s="58"/>
      <c r="M293" s="56"/>
      <c r="N293" s="57"/>
      <c r="O293" s="57"/>
      <c r="P293" s="57"/>
      <c r="Q293" s="57"/>
      <c r="R293" s="57"/>
      <c r="S293" s="57"/>
      <c r="T293" s="45"/>
      <c r="U293" s="71"/>
      <c r="V293" s="57"/>
      <c r="W293" s="57"/>
      <c r="X293" s="57"/>
      <c r="Y293" s="57"/>
      <c r="Z293" s="57"/>
      <c r="AA293" s="57"/>
      <c r="AB293" s="57"/>
      <c r="AC293" s="57"/>
      <c r="AD293" s="71"/>
      <c r="AE293" s="57"/>
      <c r="AF293" s="57"/>
      <c r="AG293" s="57"/>
      <c r="AH293" s="57"/>
      <c r="AI293" s="57"/>
      <c r="AJ293" s="57"/>
      <c r="AK293" s="57"/>
      <c r="AL293" s="57"/>
      <c r="AM293" s="71"/>
      <c r="AN293" s="57"/>
      <c r="AO293" s="57"/>
      <c r="AP293" s="57"/>
      <c r="AQ293" s="57"/>
      <c r="AR293" s="57"/>
      <c r="AS293" s="57"/>
      <c r="AT293" s="57"/>
      <c r="AU293" s="57"/>
      <c r="AV293" s="71"/>
      <c r="AW293" s="57"/>
      <c r="AX293" s="55"/>
      <c r="AY293" s="55"/>
      <c r="AZ293" s="55"/>
      <c r="BA293" s="55"/>
      <c r="BB293" s="55"/>
      <c r="BC293" s="55"/>
      <c r="BD293" s="57"/>
      <c r="BE293" s="65"/>
      <c r="BF293" s="55"/>
      <c r="BG293" s="55"/>
      <c r="BH293" s="55"/>
      <c r="BI293" s="55"/>
      <c r="BJ293" s="55"/>
      <c r="BK293" s="55"/>
      <c r="BL293" s="55"/>
      <c r="BM293" s="55"/>
    </row>
    <row r="294" spans="1:65">
      <c r="A294" s="12" t="str">
        <f>Roster!A294</f>
        <v/>
      </c>
      <c r="B294" s="28">
        <f>Roster!C294</f>
        <v>0</v>
      </c>
      <c r="C294" s="55"/>
      <c r="D294" s="56"/>
      <c r="E294" s="57"/>
      <c r="F294" s="57"/>
      <c r="G294" s="57"/>
      <c r="H294" s="57"/>
      <c r="I294" s="57"/>
      <c r="J294" s="57"/>
      <c r="K294" s="45"/>
      <c r="L294" s="58"/>
      <c r="M294" s="56"/>
      <c r="N294" s="57"/>
      <c r="O294" s="57"/>
      <c r="P294" s="57"/>
      <c r="Q294" s="57"/>
      <c r="R294" s="57"/>
      <c r="S294" s="57"/>
      <c r="T294" s="45"/>
      <c r="U294" s="71"/>
      <c r="V294" s="57"/>
      <c r="W294" s="57"/>
      <c r="X294" s="57"/>
      <c r="Y294" s="57"/>
      <c r="Z294" s="57"/>
      <c r="AA294" s="57"/>
      <c r="AB294" s="57"/>
      <c r="AC294" s="57"/>
      <c r="AD294" s="71"/>
      <c r="AE294" s="57"/>
      <c r="AF294" s="57"/>
      <c r="AG294" s="57"/>
      <c r="AH294" s="57"/>
      <c r="AI294" s="57"/>
      <c r="AJ294" s="57"/>
      <c r="AK294" s="57"/>
      <c r="AL294" s="57"/>
      <c r="AM294" s="71"/>
      <c r="AN294" s="57"/>
      <c r="AO294" s="57"/>
      <c r="AP294" s="57"/>
      <c r="AQ294" s="57"/>
      <c r="AR294" s="57"/>
      <c r="AS294" s="57"/>
      <c r="AT294" s="57"/>
      <c r="AU294" s="57"/>
      <c r="AV294" s="71"/>
      <c r="AW294" s="57"/>
      <c r="AX294" s="55"/>
      <c r="AY294" s="55"/>
      <c r="AZ294" s="55"/>
      <c r="BA294" s="55"/>
      <c r="BB294" s="55"/>
      <c r="BC294" s="55"/>
      <c r="BD294" s="57"/>
      <c r="BE294" s="65"/>
      <c r="BF294" s="55"/>
      <c r="BG294" s="55"/>
      <c r="BH294" s="55"/>
      <c r="BI294" s="55"/>
      <c r="BJ294" s="55"/>
      <c r="BK294" s="55"/>
      <c r="BL294" s="55"/>
      <c r="BM294" s="55"/>
    </row>
    <row r="295" spans="1:65">
      <c r="A295" s="12" t="str">
        <f>Roster!A295</f>
        <v/>
      </c>
      <c r="B295" s="28">
        <f>Roster!C295</f>
        <v>0</v>
      </c>
      <c r="C295" s="55"/>
      <c r="D295" s="56"/>
      <c r="E295" s="57"/>
      <c r="F295" s="57"/>
      <c r="G295" s="57"/>
      <c r="H295" s="57"/>
      <c r="I295" s="57"/>
      <c r="J295" s="57"/>
      <c r="K295" s="45"/>
      <c r="L295" s="58"/>
      <c r="M295" s="56"/>
      <c r="N295" s="57"/>
      <c r="O295" s="57"/>
      <c r="P295" s="57"/>
      <c r="Q295" s="57"/>
      <c r="R295" s="57"/>
      <c r="S295" s="57"/>
      <c r="T295" s="45"/>
      <c r="U295" s="71"/>
      <c r="V295" s="57"/>
      <c r="W295" s="57"/>
      <c r="X295" s="57"/>
      <c r="Y295" s="57"/>
      <c r="Z295" s="57"/>
      <c r="AA295" s="57"/>
      <c r="AB295" s="57"/>
      <c r="AC295" s="57"/>
      <c r="AD295" s="71"/>
      <c r="AE295" s="57"/>
      <c r="AF295" s="57"/>
      <c r="AG295" s="57"/>
      <c r="AH295" s="57"/>
      <c r="AI295" s="57"/>
      <c r="AJ295" s="57"/>
      <c r="AK295" s="57"/>
      <c r="AL295" s="57"/>
      <c r="AM295" s="71"/>
      <c r="AN295" s="57"/>
      <c r="AO295" s="57"/>
      <c r="AP295" s="57"/>
      <c r="AQ295" s="57"/>
      <c r="AR295" s="57"/>
      <c r="AS295" s="57"/>
      <c r="AT295" s="57"/>
      <c r="AU295" s="57"/>
      <c r="AV295" s="71"/>
      <c r="AW295" s="57"/>
      <c r="AX295" s="55"/>
      <c r="AY295" s="55"/>
      <c r="AZ295" s="55"/>
      <c r="BA295" s="55"/>
      <c r="BB295" s="55"/>
      <c r="BC295" s="55"/>
      <c r="BD295" s="57"/>
      <c r="BE295" s="65"/>
      <c r="BF295" s="55"/>
      <c r="BG295" s="55"/>
      <c r="BH295" s="55"/>
      <c r="BI295" s="55"/>
      <c r="BJ295" s="55"/>
      <c r="BK295" s="55"/>
      <c r="BL295" s="55"/>
      <c r="BM295" s="55"/>
    </row>
    <row r="296" spans="1:65">
      <c r="A296" s="12" t="str">
        <f>Roster!A296</f>
        <v/>
      </c>
      <c r="B296" s="28">
        <f>Roster!C296</f>
        <v>0</v>
      </c>
      <c r="C296" s="55"/>
      <c r="D296" s="56"/>
      <c r="E296" s="57"/>
      <c r="F296" s="57"/>
      <c r="G296" s="57"/>
      <c r="H296" s="57"/>
      <c r="I296" s="57"/>
      <c r="J296" s="57"/>
      <c r="K296" s="45"/>
      <c r="L296" s="58"/>
      <c r="M296" s="56"/>
      <c r="N296" s="57"/>
      <c r="O296" s="57"/>
      <c r="P296" s="57"/>
      <c r="Q296" s="57"/>
      <c r="R296" s="57"/>
      <c r="S296" s="57"/>
      <c r="T296" s="45"/>
      <c r="U296" s="71"/>
      <c r="V296" s="57"/>
      <c r="W296" s="57"/>
      <c r="X296" s="57"/>
      <c r="Y296" s="57"/>
      <c r="Z296" s="57"/>
      <c r="AA296" s="57"/>
      <c r="AB296" s="57"/>
      <c r="AC296" s="57"/>
      <c r="AD296" s="71"/>
      <c r="AE296" s="57"/>
      <c r="AF296" s="57"/>
      <c r="AG296" s="57"/>
      <c r="AH296" s="57"/>
      <c r="AI296" s="57"/>
      <c r="AJ296" s="57"/>
      <c r="AK296" s="57"/>
      <c r="AL296" s="57"/>
      <c r="AM296" s="71"/>
      <c r="AN296" s="57"/>
      <c r="AO296" s="57"/>
      <c r="AP296" s="57"/>
      <c r="AQ296" s="57"/>
      <c r="AR296" s="57"/>
      <c r="AS296" s="57"/>
      <c r="AT296" s="57"/>
      <c r="AU296" s="57"/>
      <c r="AV296" s="71"/>
      <c r="AW296" s="57"/>
      <c r="AX296" s="55"/>
      <c r="AY296" s="55"/>
      <c r="AZ296" s="55"/>
      <c r="BA296" s="55"/>
      <c r="BB296" s="55"/>
      <c r="BC296" s="55"/>
      <c r="BD296" s="57"/>
      <c r="BE296" s="65"/>
      <c r="BF296" s="55"/>
      <c r="BG296" s="55"/>
      <c r="BH296" s="55"/>
      <c r="BI296" s="55"/>
      <c r="BJ296" s="55"/>
      <c r="BK296" s="55"/>
      <c r="BL296" s="55"/>
      <c r="BM296" s="55"/>
    </row>
    <row r="297" spans="1:65">
      <c r="A297" s="12" t="str">
        <f>Roster!A297</f>
        <v/>
      </c>
      <c r="B297" s="28">
        <f>Roster!C297</f>
        <v>0</v>
      </c>
      <c r="C297" s="55"/>
      <c r="D297" s="56"/>
      <c r="E297" s="57"/>
      <c r="F297" s="57"/>
      <c r="G297" s="57"/>
      <c r="H297" s="57"/>
      <c r="I297" s="57"/>
      <c r="J297" s="57"/>
      <c r="K297" s="45"/>
      <c r="L297" s="58"/>
      <c r="M297" s="56"/>
      <c r="N297" s="57"/>
      <c r="O297" s="57"/>
      <c r="P297" s="57"/>
      <c r="Q297" s="57"/>
      <c r="R297" s="57"/>
      <c r="S297" s="57"/>
      <c r="T297" s="45"/>
      <c r="U297" s="71"/>
      <c r="V297" s="57"/>
      <c r="W297" s="57"/>
      <c r="X297" s="57"/>
      <c r="Y297" s="57"/>
      <c r="Z297" s="57"/>
      <c r="AA297" s="57"/>
      <c r="AB297" s="57"/>
      <c r="AC297" s="57"/>
      <c r="AD297" s="71"/>
      <c r="AE297" s="57"/>
      <c r="AF297" s="57"/>
      <c r="AG297" s="57"/>
      <c r="AH297" s="57"/>
      <c r="AI297" s="57"/>
      <c r="AJ297" s="57"/>
      <c r="AK297" s="57"/>
      <c r="AL297" s="57"/>
      <c r="AM297" s="71"/>
      <c r="AN297" s="57"/>
      <c r="AO297" s="57"/>
      <c r="AP297" s="57"/>
      <c r="AQ297" s="57"/>
      <c r="AR297" s="57"/>
      <c r="AS297" s="57"/>
      <c r="AT297" s="57"/>
      <c r="AU297" s="57"/>
      <c r="AV297" s="71"/>
      <c r="AW297" s="57"/>
      <c r="AX297" s="55"/>
      <c r="AY297" s="55"/>
      <c r="AZ297" s="55"/>
      <c r="BA297" s="55"/>
      <c r="BB297" s="55"/>
      <c r="BC297" s="55"/>
      <c r="BD297" s="57"/>
      <c r="BE297" s="65"/>
      <c r="BF297" s="55"/>
      <c r="BG297" s="55"/>
      <c r="BH297" s="55"/>
      <c r="BI297" s="55"/>
      <c r="BJ297" s="55"/>
      <c r="BK297" s="55"/>
      <c r="BL297" s="55"/>
      <c r="BM297" s="55"/>
    </row>
    <row r="298" spans="1:65">
      <c r="A298" s="12" t="str">
        <f>Roster!A298</f>
        <v/>
      </c>
      <c r="B298" s="28">
        <f>Roster!C298</f>
        <v>0</v>
      </c>
      <c r="C298" s="55"/>
      <c r="D298" s="56"/>
      <c r="E298" s="57"/>
      <c r="F298" s="57"/>
      <c r="G298" s="57"/>
      <c r="H298" s="57"/>
      <c r="I298" s="57"/>
      <c r="J298" s="57"/>
      <c r="K298" s="45"/>
      <c r="L298" s="58"/>
      <c r="M298" s="56"/>
      <c r="N298" s="57"/>
      <c r="O298" s="57"/>
      <c r="P298" s="57"/>
      <c r="Q298" s="57"/>
      <c r="R298" s="57"/>
      <c r="S298" s="57"/>
      <c r="T298" s="45"/>
      <c r="U298" s="71"/>
      <c r="V298" s="57"/>
      <c r="W298" s="57"/>
      <c r="X298" s="57"/>
      <c r="Y298" s="57"/>
      <c r="Z298" s="57"/>
      <c r="AA298" s="57"/>
      <c r="AB298" s="57"/>
      <c r="AC298" s="57"/>
      <c r="AD298" s="71"/>
      <c r="AE298" s="57"/>
      <c r="AF298" s="57"/>
      <c r="AG298" s="57"/>
      <c r="AH298" s="57"/>
      <c r="AI298" s="57"/>
      <c r="AJ298" s="57"/>
      <c r="AK298" s="57"/>
      <c r="AL298" s="57"/>
      <c r="AM298" s="71"/>
      <c r="AN298" s="57"/>
      <c r="AO298" s="57"/>
      <c r="AP298" s="57"/>
      <c r="AQ298" s="57"/>
      <c r="AR298" s="57"/>
      <c r="AS298" s="57"/>
      <c r="AT298" s="57"/>
      <c r="AU298" s="57"/>
      <c r="AV298" s="71"/>
      <c r="AW298" s="57"/>
      <c r="AX298" s="55"/>
      <c r="AY298" s="55"/>
      <c r="AZ298" s="55"/>
      <c r="BA298" s="55"/>
      <c r="BB298" s="55"/>
      <c r="BC298" s="55"/>
      <c r="BD298" s="57"/>
      <c r="BE298" s="65"/>
      <c r="BF298" s="55"/>
      <c r="BG298" s="55"/>
      <c r="BH298" s="55"/>
      <c r="BI298" s="55"/>
      <c r="BJ298" s="55"/>
      <c r="BK298" s="55"/>
      <c r="BL298" s="55"/>
      <c r="BM298" s="55"/>
    </row>
    <row r="299" spans="1:65">
      <c r="A299" s="12" t="str">
        <f>Roster!A299</f>
        <v/>
      </c>
      <c r="B299" s="28">
        <f>Roster!C299</f>
        <v>0</v>
      </c>
      <c r="C299" s="55"/>
      <c r="D299" s="56"/>
      <c r="E299" s="57"/>
      <c r="F299" s="57"/>
      <c r="G299" s="57"/>
      <c r="H299" s="57"/>
      <c r="I299" s="57"/>
      <c r="J299" s="57"/>
      <c r="K299" s="45"/>
      <c r="L299" s="58"/>
      <c r="M299" s="56"/>
      <c r="N299" s="57"/>
      <c r="O299" s="57"/>
      <c r="P299" s="57"/>
      <c r="Q299" s="57"/>
      <c r="R299" s="57"/>
      <c r="S299" s="57"/>
      <c r="T299" s="45"/>
      <c r="U299" s="71"/>
      <c r="V299" s="57"/>
      <c r="W299" s="57"/>
      <c r="X299" s="57"/>
      <c r="Y299" s="57"/>
      <c r="Z299" s="57"/>
      <c r="AA299" s="57"/>
      <c r="AB299" s="57"/>
      <c r="AC299" s="57"/>
      <c r="AD299" s="71"/>
      <c r="AE299" s="57"/>
      <c r="AF299" s="57"/>
      <c r="AG299" s="57"/>
      <c r="AH299" s="57"/>
      <c r="AI299" s="57"/>
      <c r="AJ299" s="57"/>
      <c r="AK299" s="57"/>
      <c r="AL299" s="57"/>
      <c r="AM299" s="71"/>
      <c r="AN299" s="57"/>
      <c r="AO299" s="57"/>
      <c r="AP299" s="57"/>
      <c r="AQ299" s="57"/>
      <c r="AR299" s="57"/>
      <c r="AS299" s="57"/>
      <c r="AT299" s="57"/>
      <c r="AU299" s="57"/>
      <c r="AV299" s="71"/>
      <c r="AW299" s="57"/>
      <c r="AX299" s="55"/>
      <c r="AY299" s="55"/>
      <c r="AZ299" s="55"/>
      <c r="BA299" s="55"/>
      <c r="BB299" s="55"/>
      <c r="BC299" s="55"/>
      <c r="BD299" s="57"/>
      <c r="BE299" s="65"/>
      <c r="BF299" s="55"/>
      <c r="BG299" s="55"/>
      <c r="BH299" s="55"/>
      <c r="BI299" s="55"/>
      <c r="BJ299" s="55"/>
      <c r="BK299" s="55"/>
      <c r="BL299" s="55"/>
      <c r="BM299" s="55"/>
    </row>
    <row r="300" spans="1:65">
      <c r="A300" s="12" t="str">
        <f>Roster!A300</f>
        <v/>
      </c>
      <c r="B300" s="28">
        <f>Roster!C300</f>
        <v>0</v>
      </c>
      <c r="C300" s="55"/>
      <c r="D300" s="56"/>
      <c r="E300" s="57"/>
      <c r="F300" s="57"/>
      <c r="G300" s="57"/>
      <c r="H300" s="57"/>
      <c r="I300" s="57"/>
      <c r="J300" s="57"/>
      <c r="K300" s="45"/>
      <c r="L300" s="58"/>
      <c r="M300" s="56"/>
      <c r="N300" s="57"/>
      <c r="O300" s="57"/>
      <c r="P300" s="57"/>
      <c r="Q300" s="57"/>
      <c r="R300" s="57"/>
      <c r="S300" s="57"/>
      <c r="T300" s="45"/>
      <c r="U300" s="71"/>
      <c r="V300" s="57"/>
      <c r="W300" s="57"/>
      <c r="X300" s="57"/>
      <c r="Y300" s="57"/>
      <c r="Z300" s="57"/>
      <c r="AA300" s="57"/>
      <c r="AB300" s="57"/>
      <c r="AC300" s="57"/>
      <c r="AD300" s="71"/>
      <c r="AE300" s="57"/>
      <c r="AF300" s="57"/>
      <c r="AG300" s="57"/>
      <c r="AH300" s="57"/>
      <c r="AI300" s="57"/>
      <c r="AJ300" s="57"/>
      <c r="AK300" s="57"/>
      <c r="AL300" s="57"/>
      <c r="AM300" s="71"/>
      <c r="AN300" s="57"/>
      <c r="AO300" s="57"/>
      <c r="AP300" s="57"/>
      <c r="AQ300" s="57"/>
      <c r="AR300" s="57"/>
      <c r="AS300" s="57"/>
      <c r="AT300" s="57"/>
      <c r="AU300" s="57"/>
      <c r="AV300" s="71"/>
      <c r="AW300" s="57"/>
      <c r="AX300" s="55"/>
      <c r="AY300" s="55"/>
      <c r="AZ300" s="55"/>
      <c r="BA300" s="55"/>
      <c r="BB300" s="55"/>
      <c r="BC300" s="55"/>
      <c r="BD300" s="57"/>
      <c r="BE300" s="65"/>
      <c r="BF300" s="55"/>
      <c r="BG300" s="55"/>
      <c r="BH300" s="55"/>
      <c r="BI300" s="55"/>
      <c r="BJ300" s="55"/>
      <c r="BK300" s="55"/>
      <c r="BL300" s="55"/>
      <c r="BM300" s="55"/>
    </row>
    <row r="301" spans="1:65">
      <c r="A301" s="12" t="str">
        <f>Roster!A301</f>
        <v/>
      </c>
      <c r="B301" s="28">
        <f>Roster!C301</f>
        <v>0</v>
      </c>
      <c r="C301" s="55"/>
      <c r="D301" s="56"/>
      <c r="E301" s="57"/>
      <c r="F301" s="57"/>
      <c r="G301" s="57"/>
      <c r="H301" s="57"/>
      <c r="I301" s="57"/>
      <c r="J301" s="57"/>
      <c r="K301" s="45"/>
      <c r="L301" s="58"/>
      <c r="M301" s="56"/>
      <c r="N301" s="57"/>
      <c r="O301" s="57"/>
      <c r="P301" s="57"/>
      <c r="Q301" s="57"/>
      <c r="R301" s="57"/>
      <c r="S301" s="57"/>
      <c r="T301" s="45"/>
      <c r="U301" s="71"/>
      <c r="V301" s="57"/>
      <c r="W301" s="57"/>
      <c r="X301" s="57"/>
      <c r="Y301" s="57"/>
      <c r="Z301" s="57"/>
      <c r="AA301" s="57"/>
      <c r="AB301" s="57"/>
      <c r="AC301" s="57"/>
      <c r="AD301" s="71"/>
      <c r="AE301" s="57"/>
      <c r="AF301" s="57"/>
      <c r="AG301" s="57"/>
      <c r="AH301" s="57"/>
      <c r="AI301" s="57"/>
      <c r="AJ301" s="57"/>
      <c r="AK301" s="57"/>
      <c r="AL301" s="57"/>
      <c r="AM301" s="71"/>
      <c r="AN301" s="57"/>
      <c r="AO301" s="57"/>
      <c r="AP301" s="57"/>
      <c r="AQ301" s="57"/>
      <c r="AR301" s="57"/>
      <c r="AS301" s="57"/>
      <c r="AT301" s="57"/>
      <c r="AU301" s="57"/>
      <c r="AV301" s="71"/>
      <c r="AW301" s="57"/>
      <c r="AX301" s="55"/>
      <c r="AY301" s="55"/>
      <c r="AZ301" s="55"/>
      <c r="BA301" s="55"/>
      <c r="BB301" s="55"/>
      <c r="BC301" s="55"/>
      <c r="BD301" s="57"/>
      <c r="BE301" s="65"/>
      <c r="BF301" s="55"/>
      <c r="BG301" s="55"/>
      <c r="BH301" s="55"/>
      <c r="BI301" s="55"/>
      <c r="BJ301" s="55"/>
      <c r="BK301" s="55"/>
      <c r="BL301" s="55"/>
      <c r="BM301" s="55"/>
    </row>
  </sheetData>
  <sheetProtection algorithmName="SHA-512" hashValue="Qa2Mpm9K82wOrO6B6pTERMc0iHnF+KcWeE/h0SSmeJWVBe+DQ31eGMrEfGbBSbXkbYT7JplIlxtKzPXyYXjudA==" saltValue="HUw9vmd5ZnvSTfl6xIi8yg==" spinCount="100000" sheet="1" objects="1" scenarios="1"/>
  <mergeCells count="8">
    <mergeCell ref="A1:B1"/>
    <mergeCell ref="AW1:BD1"/>
    <mergeCell ref="BF1:BM1"/>
    <mergeCell ref="V1:AC1"/>
    <mergeCell ref="AE1:AL1"/>
    <mergeCell ref="AN1:AU1"/>
    <mergeCell ref="D1:K1"/>
    <mergeCell ref="M1:T1"/>
  </mergeCells>
  <dataValidations count="1">
    <dataValidation type="whole" allowBlank="1" showInputMessage="1" showErrorMessage="1" errorTitle="Invalid Entry" error="You must use a 1 or leave the cell blank!" sqref="E3:J301 N3:S301 W3:AB301 AF3:AK301 AO3:AT301 AX3:BC301 BG3:BL301" xr:uid="{49B1D448-EECC-4EF1-A08C-3324D8325279}">
      <formula1>1</formula1>
      <formula2>1</formula2>
    </dataValidation>
  </dataValidations>
  <pageMargins left="0.25" right="0.25" top="0.75" bottom="0.75" header="0.3" footer="0.3"/>
  <pageSetup orientation="landscape"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use the dropdown menu for your entry!" xr:uid="{22F5A1A0-268E-41CE-A9C9-19A1BE04A66E}">
          <x14:formula1>
            <xm:f>'DropDown Lists'!$F$2:$F$4</xm:f>
          </x14:formula1>
          <xm:sqref>D3:D301 M3:M301 V3:V301 AE3:AE301 AN3:AN301 AW3:AW301 BF3:BF301</xm:sqref>
        </x14:dataValidation>
        <x14:dataValidation type="list" allowBlank="1" showInputMessage="1" showErrorMessage="1" errorTitle="Invalid Entry" error="Please use the dropdown menu for your entry!" xr:uid="{4C361368-AF53-4687-A5BE-5A6DF14CF137}">
          <x14:formula1>
            <xm:f>'DropDown Lists'!$E$2:$E$4</xm:f>
          </x14:formula1>
          <xm:sqref>C3:C301 L3:L301 U3:U301 AD3:AD301 AM3:AM301 AV3:AV301 BE3:BE301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3D47-D37E-4337-A7CB-7F2094C77CFB}">
  <sheetPr>
    <tabColor theme="1" tint="4.9989318521683403E-2"/>
  </sheetPr>
  <dimension ref="A1:BD302"/>
  <sheetViews>
    <sheetView tabSelected="1" workbookViewId="0">
      <pane xSplit="1" ySplit="2" topLeftCell="B3" activePane="bottomRight" state="frozen"/>
      <selection pane="topRight" activeCell="B1" sqref="B1"/>
      <selection pane="bottomLeft" activeCell="A2" sqref="A2"/>
      <selection pane="bottomRight" activeCell="C3" sqref="C3"/>
    </sheetView>
  </sheetViews>
  <sheetFormatPr defaultColWidth="8.85546875" defaultRowHeight="15"/>
  <cols>
    <col min="1" max="1" width="19.140625" customWidth="1"/>
    <col min="2" max="2" width="4.85546875" style="25" customWidth="1"/>
    <col min="3" max="3" width="19.5703125" style="25" customWidth="1"/>
    <col min="4" max="4" width="10.7109375" customWidth="1"/>
    <col min="5" max="10" width="5" customWidth="1"/>
    <col min="11" max="11" width="15" style="5" customWidth="1"/>
    <col min="12" max="12" width="18.7109375" style="35" customWidth="1"/>
    <col min="13" max="13" width="12.85546875" customWidth="1"/>
    <col min="14" max="19" width="5" customWidth="1"/>
    <col min="20" max="20" width="15" customWidth="1"/>
    <col min="21" max="21" width="18.7109375" style="36" customWidth="1"/>
    <col min="22" max="22" width="12.85546875" customWidth="1"/>
    <col min="23" max="28" width="5" customWidth="1"/>
    <col min="29" max="29" width="15" customWidth="1"/>
    <col min="30" max="30" width="18.7109375" style="36" customWidth="1"/>
    <col min="31" max="31" width="12.85546875" customWidth="1"/>
    <col min="32" max="37" width="5" customWidth="1"/>
    <col min="38" max="38" width="15" customWidth="1"/>
    <col min="39" max="39" width="18.7109375" style="36" customWidth="1"/>
    <col min="40" max="40" width="12.85546875" customWidth="1"/>
    <col min="41" max="46" width="5" customWidth="1"/>
    <col min="47" max="47" width="15" customWidth="1"/>
    <col min="48" max="48" width="18.7109375" style="36" customWidth="1"/>
    <col min="49" max="49" width="12.85546875" customWidth="1"/>
    <col min="50" max="55" width="5" style="25" customWidth="1"/>
    <col min="56" max="56" width="15" customWidth="1"/>
  </cols>
  <sheetData>
    <row r="1" spans="1:56" ht="14.45" customHeight="1">
      <c r="A1" s="221" t="s">
        <v>39</v>
      </c>
      <c r="B1" s="222"/>
      <c r="C1" s="34" t="s">
        <v>40</v>
      </c>
      <c r="D1" s="218" t="s">
        <v>41</v>
      </c>
      <c r="E1" s="219"/>
      <c r="F1" s="219"/>
      <c r="G1" s="219"/>
      <c r="H1" s="219"/>
      <c r="I1" s="219"/>
      <c r="J1" s="219"/>
      <c r="K1" s="219"/>
      <c r="L1" s="34" t="s">
        <v>42</v>
      </c>
      <c r="M1" s="218" t="s">
        <v>41</v>
      </c>
      <c r="N1" s="219"/>
      <c r="O1" s="219"/>
      <c r="P1" s="219"/>
      <c r="Q1" s="219"/>
      <c r="R1" s="219"/>
      <c r="S1" s="219"/>
      <c r="T1" s="219"/>
      <c r="U1" s="34" t="s">
        <v>43</v>
      </c>
      <c r="V1" s="218" t="s">
        <v>41</v>
      </c>
      <c r="W1" s="219"/>
      <c r="X1" s="219"/>
      <c r="Y1" s="219"/>
      <c r="Z1" s="219"/>
      <c r="AA1" s="219"/>
      <c r="AB1" s="219"/>
      <c r="AC1" s="219"/>
      <c r="AD1" s="34" t="s">
        <v>44</v>
      </c>
      <c r="AE1" s="218" t="s">
        <v>41</v>
      </c>
      <c r="AF1" s="219"/>
      <c r="AG1" s="219"/>
      <c r="AH1" s="219"/>
      <c r="AI1" s="219"/>
      <c r="AJ1" s="219"/>
      <c r="AK1" s="219"/>
      <c r="AL1" s="219"/>
      <c r="AM1" s="34" t="s">
        <v>45</v>
      </c>
      <c r="AN1" s="218" t="s">
        <v>41</v>
      </c>
      <c r="AO1" s="219"/>
      <c r="AP1" s="219"/>
      <c r="AQ1" s="219"/>
      <c r="AR1" s="219"/>
      <c r="AS1" s="219"/>
      <c r="AT1" s="219"/>
      <c r="AU1" s="219"/>
      <c r="AV1" s="33" t="s">
        <v>46</v>
      </c>
      <c r="AW1" s="218" t="s">
        <v>41</v>
      </c>
      <c r="AX1" s="219"/>
      <c r="AY1" s="219"/>
      <c r="AZ1" s="219"/>
      <c r="BA1" s="219"/>
      <c r="BB1" s="219"/>
      <c r="BC1" s="219"/>
      <c r="BD1" s="220"/>
    </row>
    <row r="2" spans="1:56" ht="218.25">
      <c r="A2" s="26" t="s">
        <v>33</v>
      </c>
      <c r="B2" s="27" t="s">
        <v>6</v>
      </c>
      <c r="C2" s="14" t="s">
        <v>152</v>
      </c>
      <c r="D2" s="14" t="s">
        <v>51</v>
      </c>
      <c r="E2" s="4" t="s">
        <v>52</v>
      </c>
      <c r="F2" s="4" t="s">
        <v>53</v>
      </c>
      <c r="G2" s="4" t="s">
        <v>54</v>
      </c>
      <c r="H2" s="4" t="s">
        <v>55</v>
      </c>
      <c r="I2" s="4" t="s">
        <v>56</v>
      </c>
      <c r="J2" s="4" t="s">
        <v>57</v>
      </c>
      <c r="K2" s="18" t="s">
        <v>58</v>
      </c>
      <c r="L2" s="23" t="s">
        <v>153</v>
      </c>
      <c r="M2" s="15" t="s">
        <v>60</v>
      </c>
      <c r="N2" s="17" t="s">
        <v>61</v>
      </c>
      <c r="O2" s="17" t="s">
        <v>62</v>
      </c>
      <c r="P2" s="17" t="s">
        <v>63</v>
      </c>
      <c r="Q2" s="17" t="s">
        <v>64</v>
      </c>
      <c r="R2" s="17" t="s">
        <v>65</v>
      </c>
      <c r="S2" s="17" t="s">
        <v>66</v>
      </c>
      <c r="T2" s="22" t="s">
        <v>67</v>
      </c>
      <c r="U2" s="19" t="s">
        <v>154</v>
      </c>
      <c r="V2" s="15" t="s">
        <v>69</v>
      </c>
      <c r="W2" s="17" t="s">
        <v>70</v>
      </c>
      <c r="X2" s="17" t="s">
        <v>71</v>
      </c>
      <c r="Y2" s="17" t="s">
        <v>72</v>
      </c>
      <c r="Z2" s="17" t="s">
        <v>73</v>
      </c>
      <c r="AA2" s="17" t="s">
        <v>74</v>
      </c>
      <c r="AB2" s="17" t="s">
        <v>75</v>
      </c>
      <c r="AC2" s="22" t="s">
        <v>76</v>
      </c>
      <c r="AD2" s="19" t="s">
        <v>155</v>
      </c>
      <c r="AE2" s="15" t="s">
        <v>78</v>
      </c>
      <c r="AF2" s="24" t="s">
        <v>79</v>
      </c>
      <c r="AG2" s="24" t="s">
        <v>80</v>
      </c>
      <c r="AH2" s="24" t="s">
        <v>81</v>
      </c>
      <c r="AI2" s="24" t="s">
        <v>82</v>
      </c>
      <c r="AJ2" s="24" t="s">
        <v>83</v>
      </c>
      <c r="AK2" s="24" t="s">
        <v>84</v>
      </c>
      <c r="AL2" s="22" t="s">
        <v>85</v>
      </c>
      <c r="AM2" s="19" t="s">
        <v>156</v>
      </c>
      <c r="AN2" s="15" t="s">
        <v>87</v>
      </c>
      <c r="AO2" s="17" t="s">
        <v>88</v>
      </c>
      <c r="AP2" s="17" t="s">
        <v>89</v>
      </c>
      <c r="AQ2" s="17" t="s">
        <v>90</v>
      </c>
      <c r="AR2" s="17" t="s">
        <v>91</v>
      </c>
      <c r="AS2" s="17" t="s">
        <v>92</v>
      </c>
      <c r="AT2" s="17" t="s">
        <v>93</v>
      </c>
      <c r="AU2" s="22" t="s">
        <v>94</v>
      </c>
      <c r="AV2" s="19" t="s">
        <v>157</v>
      </c>
      <c r="AW2" s="15" t="s">
        <v>96</v>
      </c>
      <c r="AX2" s="17" t="s">
        <v>97</v>
      </c>
      <c r="AY2" s="17" t="s">
        <v>98</v>
      </c>
      <c r="AZ2" s="17" t="s">
        <v>99</v>
      </c>
      <c r="BA2" s="17" t="s">
        <v>100</v>
      </c>
      <c r="BB2" s="17" t="s">
        <v>101</v>
      </c>
      <c r="BC2" s="17" t="s">
        <v>102</v>
      </c>
      <c r="BD2" s="22" t="s">
        <v>103</v>
      </c>
    </row>
    <row r="3" spans="1:56">
      <c r="A3" s="12" t="str">
        <f>Roster!A3</f>
        <v/>
      </c>
      <c r="B3" s="28">
        <f>Roster!C3</f>
        <v>0</v>
      </c>
      <c r="C3" s="55"/>
      <c r="D3" s="56"/>
      <c r="E3" s="57"/>
      <c r="F3" s="57"/>
      <c r="G3" s="57"/>
      <c r="H3" s="57"/>
      <c r="I3" s="57"/>
      <c r="J3" s="57"/>
      <c r="K3" s="51"/>
      <c r="L3" s="58"/>
      <c r="M3" s="56"/>
      <c r="N3" s="57"/>
      <c r="O3" s="57"/>
      <c r="P3" s="57"/>
      <c r="Q3" s="57"/>
      <c r="R3" s="57"/>
      <c r="S3" s="57"/>
      <c r="T3" s="51"/>
      <c r="U3" s="59"/>
      <c r="V3" s="60"/>
      <c r="W3" s="61"/>
      <c r="X3" s="61"/>
      <c r="Y3" s="61"/>
      <c r="Z3" s="61"/>
      <c r="AA3" s="61"/>
      <c r="AB3" s="61"/>
      <c r="AC3" s="62"/>
      <c r="AD3" s="59"/>
      <c r="AE3" s="60"/>
      <c r="AF3" s="61"/>
      <c r="AG3" s="61"/>
      <c r="AH3" s="61"/>
      <c r="AI3" s="61"/>
      <c r="AJ3" s="61"/>
      <c r="AK3" s="61"/>
      <c r="AL3" s="62"/>
      <c r="AM3" s="59"/>
      <c r="AN3" s="60"/>
      <c r="AO3" s="61"/>
      <c r="AP3" s="61"/>
      <c r="AQ3" s="61"/>
      <c r="AR3" s="61"/>
      <c r="AS3" s="61"/>
      <c r="AT3" s="61"/>
      <c r="AU3" s="62"/>
      <c r="AV3" s="59"/>
      <c r="AW3" s="60"/>
      <c r="AX3" s="63"/>
      <c r="AY3" s="63"/>
      <c r="AZ3" s="63"/>
      <c r="BA3" s="63"/>
      <c r="BB3" s="63"/>
      <c r="BC3" s="63"/>
      <c r="BD3" s="62"/>
    </row>
    <row r="4" spans="1:56">
      <c r="A4" s="12" t="str">
        <f>Roster!A4</f>
        <v/>
      </c>
      <c r="B4" s="28">
        <f>Roster!C4</f>
        <v>0</v>
      </c>
      <c r="C4" s="55"/>
      <c r="D4" s="56"/>
      <c r="E4" s="57"/>
      <c r="F4" s="57"/>
      <c r="G4" s="57"/>
      <c r="H4" s="57"/>
      <c r="I4" s="57"/>
      <c r="J4" s="57"/>
      <c r="K4" s="51"/>
      <c r="L4" s="58"/>
      <c r="M4" s="56"/>
      <c r="N4" s="57"/>
      <c r="O4" s="57"/>
      <c r="P4" s="57"/>
      <c r="Q4" s="57"/>
      <c r="R4" s="57"/>
      <c r="S4" s="57"/>
      <c r="T4" s="51"/>
      <c r="U4" s="65"/>
      <c r="V4" s="56"/>
      <c r="W4" s="57"/>
      <c r="X4" s="57"/>
      <c r="Y4" s="57"/>
      <c r="Z4" s="57"/>
      <c r="AA4" s="57"/>
      <c r="AB4" s="57"/>
      <c r="AC4" s="51"/>
      <c r="AD4" s="65"/>
      <c r="AE4" s="56"/>
      <c r="AF4" s="57"/>
      <c r="AG4" s="57"/>
      <c r="AH4" s="57"/>
      <c r="AI4" s="57"/>
      <c r="AJ4" s="57"/>
      <c r="AK4" s="57"/>
      <c r="AL4" s="51"/>
      <c r="AM4" s="65"/>
      <c r="AN4" s="56"/>
      <c r="AO4" s="57"/>
      <c r="AP4" s="57"/>
      <c r="AQ4" s="57"/>
      <c r="AR4" s="57"/>
      <c r="AS4" s="57"/>
      <c r="AT4" s="57"/>
      <c r="AU4" s="51"/>
      <c r="AV4" s="65"/>
      <c r="AW4" s="56"/>
      <c r="AX4" s="55"/>
      <c r="AY4" s="55"/>
      <c r="AZ4" s="55"/>
      <c r="BA4" s="55"/>
      <c r="BB4" s="55"/>
      <c r="BC4" s="55"/>
      <c r="BD4" s="51"/>
    </row>
    <row r="5" spans="1:56">
      <c r="A5" s="12" t="str">
        <f>Roster!A5</f>
        <v/>
      </c>
      <c r="B5" s="28">
        <f>Roster!C5</f>
        <v>0</v>
      </c>
      <c r="C5" s="55"/>
      <c r="D5" s="56"/>
      <c r="E5" s="57"/>
      <c r="F5" s="57"/>
      <c r="G5" s="57"/>
      <c r="H5" s="57"/>
      <c r="I5" s="57"/>
      <c r="J5" s="57"/>
      <c r="K5" s="51"/>
      <c r="L5" s="58"/>
      <c r="M5" s="56"/>
      <c r="N5" s="57"/>
      <c r="O5" s="57"/>
      <c r="P5" s="57"/>
      <c r="Q5" s="57"/>
      <c r="R5" s="57"/>
      <c r="S5" s="57"/>
      <c r="T5" s="51"/>
      <c r="U5" s="65"/>
      <c r="V5" s="56"/>
      <c r="W5" s="57"/>
      <c r="X5" s="57"/>
      <c r="Y5" s="57"/>
      <c r="Z5" s="57"/>
      <c r="AA5" s="57"/>
      <c r="AB5" s="57"/>
      <c r="AC5" s="51"/>
      <c r="AD5" s="65"/>
      <c r="AE5" s="56"/>
      <c r="AF5" s="57"/>
      <c r="AG5" s="57"/>
      <c r="AH5" s="57"/>
      <c r="AI5" s="57"/>
      <c r="AJ5" s="57"/>
      <c r="AK5" s="57"/>
      <c r="AL5" s="51"/>
      <c r="AM5" s="65"/>
      <c r="AN5" s="56"/>
      <c r="AO5" s="57"/>
      <c r="AP5" s="57"/>
      <c r="AQ5" s="57"/>
      <c r="AR5" s="57"/>
      <c r="AS5" s="57"/>
      <c r="AT5" s="57"/>
      <c r="AU5" s="51"/>
      <c r="AV5" s="65"/>
      <c r="AW5" s="56"/>
      <c r="AX5" s="55"/>
      <c r="AY5" s="55"/>
      <c r="AZ5" s="55"/>
      <c r="BA5" s="55"/>
      <c r="BB5" s="55"/>
      <c r="BC5" s="55"/>
      <c r="BD5" s="51"/>
    </row>
    <row r="6" spans="1:56">
      <c r="A6" s="12" t="str">
        <f>Roster!A6</f>
        <v/>
      </c>
      <c r="B6" s="28">
        <f>Roster!C6</f>
        <v>0</v>
      </c>
      <c r="C6" s="55"/>
      <c r="D6" s="56"/>
      <c r="E6" s="57"/>
      <c r="F6" s="57"/>
      <c r="G6" s="57"/>
      <c r="H6" s="57"/>
      <c r="I6" s="57"/>
      <c r="J6" s="57"/>
      <c r="K6" s="51"/>
      <c r="L6" s="58"/>
      <c r="M6" s="56"/>
      <c r="N6" s="57"/>
      <c r="O6" s="57"/>
      <c r="P6" s="57"/>
      <c r="Q6" s="57"/>
      <c r="R6" s="57"/>
      <c r="S6" s="57"/>
      <c r="T6" s="51"/>
      <c r="U6" s="65"/>
      <c r="V6" s="56"/>
      <c r="W6" s="57"/>
      <c r="X6" s="57"/>
      <c r="Y6" s="57"/>
      <c r="Z6" s="57"/>
      <c r="AA6" s="57"/>
      <c r="AB6" s="57"/>
      <c r="AC6" s="51"/>
      <c r="AD6" s="65"/>
      <c r="AE6" s="56"/>
      <c r="AF6" s="57"/>
      <c r="AG6" s="57"/>
      <c r="AH6" s="57"/>
      <c r="AI6" s="57"/>
      <c r="AJ6" s="57"/>
      <c r="AK6" s="57"/>
      <c r="AL6" s="51"/>
      <c r="AM6" s="65"/>
      <c r="AN6" s="56"/>
      <c r="AO6" s="57"/>
      <c r="AP6" s="57"/>
      <c r="AQ6" s="57"/>
      <c r="AR6" s="57"/>
      <c r="AS6" s="57"/>
      <c r="AT6" s="57"/>
      <c r="AU6" s="51"/>
      <c r="AV6" s="65"/>
      <c r="AW6" s="56"/>
      <c r="AX6" s="55"/>
      <c r="AY6" s="55"/>
      <c r="AZ6" s="55"/>
      <c r="BA6" s="55"/>
      <c r="BB6" s="55"/>
      <c r="BC6" s="55"/>
      <c r="BD6" s="51"/>
    </row>
    <row r="7" spans="1:56">
      <c r="A7" s="12" t="str">
        <f>Roster!A7</f>
        <v/>
      </c>
      <c r="B7" s="28">
        <f>Roster!C7</f>
        <v>0</v>
      </c>
      <c r="C7" s="55"/>
      <c r="D7" s="56"/>
      <c r="E7" s="57"/>
      <c r="F7" s="57"/>
      <c r="G7" s="57"/>
      <c r="H7" s="57"/>
      <c r="I7" s="57"/>
      <c r="J7" s="57"/>
      <c r="K7" s="51"/>
      <c r="L7" s="58"/>
      <c r="M7" s="56"/>
      <c r="N7" s="57"/>
      <c r="O7" s="57"/>
      <c r="P7" s="57"/>
      <c r="Q7" s="57"/>
      <c r="R7" s="57"/>
      <c r="S7" s="57"/>
      <c r="T7" s="51"/>
      <c r="U7" s="65"/>
      <c r="V7" s="56"/>
      <c r="W7" s="57"/>
      <c r="X7" s="57"/>
      <c r="Y7" s="57"/>
      <c r="Z7" s="57"/>
      <c r="AA7" s="57"/>
      <c r="AB7" s="57"/>
      <c r="AC7" s="51"/>
      <c r="AD7" s="65"/>
      <c r="AE7" s="56"/>
      <c r="AF7" s="57"/>
      <c r="AG7" s="57"/>
      <c r="AH7" s="57"/>
      <c r="AI7" s="57"/>
      <c r="AJ7" s="57"/>
      <c r="AK7" s="57"/>
      <c r="AL7" s="51"/>
      <c r="AM7" s="65"/>
      <c r="AN7" s="56"/>
      <c r="AO7" s="57"/>
      <c r="AP7" s="57"/>
      <c r="AQ7" s="57"/>
      <c r="AR7" s="57"/>
      <c r="AS7" s="57"/>
      <c r="AT7" s="57"/>
      <c r="AU7" s="51"/>
      <c r="AV7" s="65"/>
      <c r="AW7" s="56"/>
      <c r="AX7" s="55"/>
      <c r="AY7" s="55"/>
      <c r="AZ7" s="55"/>
      <c r="BA7" s="55"/>
      <c r="BB7" s="55"/>
      <c r="BC7" s="55"/>
      <c r="BD7" s="51"/>
    </row>
    <row r="8" spans="1:56">
      <c r="A8" s="12" t="str">
        <f>Roster!A8</f>
        <v/>
      </c>
      <c r="B8" s="28">
        <f>Roster!C8</f>
        <v>0</v>
      </c>
      <c r="C8" s="55"/>
      <c r="D8" s="56"/>
      <c r="E8" s="57"/>
      <c r="F8" s="57"/>
      <c r="G8" s="57"/>
      <c r="H8" s="57"/>
      <c r="I8" s="57"/>
      <c r="J8" s="57"/>
      <c r="K8" s="51"/>
      <c r="L8" s="58"/>
      <c r="M8" s="56"/>
      <c r="N8" s="57"/>
      <c r="O8" s="57"/>
      <c r="P8" s="57"/>
      <c r="Q8" s="57"/>
      <c r="R8" s="57"/>
      <c r="S8" s="57"/>
      <c r="T8" s="51"/>
      <c r="U8" s="65"/>
      <c r="V8" s="56"/>
      <c r="W8" s="57"/>
      <c r="X8" s="57"/>
      <c r="Y8" s="57"/>
      <c r="Z8" s="57"/>
      <c r="AA8" s="57"/>
      <c r="AB8" s="57"/>
      <c r="AC8" s="51"/>
      <c r="AD8" s="65"/>
      <c r="AE8" s="56"/>
      <c r="AF8" s="57"/>
      <c r="AG8" s="57"/>
      <c r="AH8" s="57"/>
      <c r="AI8" s="57"/>
      <c r="AJ8" s="57"/>
      <c r="AK8" s="57"/>
      <c r="AL8" s="51"/>
      <c r="AM8" s="65"/>
      <c r="AN8" s="56"/>
      <c r="AO8" s="57"/>
      <c r="AP8" s="57"/>
      <c r="AQ8" s="57"/>
      <c r="AR8" s="57"/>
      <c r="AS8" s="57"/>
      <c r="AT8" s="57"/>
      <c r="AU8" s="51"/>
      <c r="AV8" s="65"/>
      <c r="AW8" s="56"/>
      <c r="AX8" s="55"/>
      <c r="AY8" s="55"/>
      <c r="AZ8" s="55"/>
      <c r="BA8" s="55"/>
      <c r="BB8" s="55"/>
      <c r="BC8" s="55"/>
      <c r="BD8" s="51"/>
    </row>
    <row r="9" spans="1:56">
      <c r="A9" s="12" t="str">
        <f>Roster!A9</f>
        <v/>
      </c>
      <c r="B9" s="28">
        <f>Roster!C9</f>
        <v>0</v>
      </c>
      <c r="C9" s="55"/>
      <c r="D9" s="56"/>
      <c r="E9" s="57"/>
      <c r="F9" s="57"/>
      <c r="G9" s="57"/>
      <c r="H9" s="57"/>
      <c r="I9" s="57"/>
      <c r="J9" s="57"/>
      <c r="K9" s="51"/>
      <c r="L9" s="58"/>
      <c r="M9" s="56"/>
      <c r="N9" s="57"/>
      <c r="O9" s="57"/>
      <c r="P9" s="57"/>
      <c r="Q9" s="57"/>
      <c r="R9" s="57"/>
      <c r="S9" s="57"/>
      <c r="T9" s="51"/>
      <c r="U9" s="65"/>
      <c r="V9" s="56"/>
      <c r="W9" s="57"/>
      <c r="X9" s="57"/>
      <c r="Y9" s="57"/>
      <c r="Z9" s="57"/>
      <c r="AA9" s="57"/>
      <c r="AB9" s="57"/>
      <c r="AC9" s="51"/>
      <c r="AD9" s="65"/>
      <c r="AE9" s="56"/>
      <c r="AF9" s="57"/>
      <c r="AG9" s="57"/>
      <c r="AH9" s="57"/>
      <c r="AI9" s="57"/>
      <c r="AJ9" s="57"/>
      <c r="AK9" s="57"/>
      <c r="AL9" s="51"/>
      <c r="AM9" s="65"/>
      <c r="AN9" s="56"/>
      <c r="AO9" s="57"/>
      <c r="AP9" s="57"/>
      <c r="AQ9" s="57"/>
      <c r="AR9" s="57"/>
      <c r="AS9" s="57"/>
      <c r="AT9" s="57"/>
      <c r="AU9" s="51"/>
      <c r="AV9" s="65"/>
      <c r="AW9" s="56"/>
      <c r="AX9" s="55"/>
      <c r="AY9" s="55"/>
      <c r="AZ9" s="55"/>
      <c r="BA9" s="55"/>
      <c r="BB9" s="55"/>
      <c r="BC9" s="55"/>
      <c r="BD9" s="51"/>
    </row>
    <row r="10" spans="1:56">
      <c r="A10" s="12" t="str">
        <f>Roster!A10</f>
        <v/>
      </c>
      <c r="B10" s="28">
        <f>Roster!C10</f>
        <v>0</v>
      </c>
      <c r="C10" s="55"/>
      <c r="D10" s="56"/>
      <c r="E10" s="57"/>
      <c r="F10" s="57"/>
      <c r="G10" s="57"/>
      <c r="H10" s="57"/>
      <c r="I10" s="57"/>
      <c r="J10" s="57"/>
      <c r="K10" s="51"/>
      <c r="L10" s="58"/>
      <c r="M10" s="56"/>
      <c r="N10" s="57"/>
      <c r="O10" s="57"/>
      <c r="P10" s="57"/>
      <c r="Q10" s="57"/>
      <c r="R10" s="57"/>
      <c r="S10" s="57"/>
      <c r="T10" s="51"/>
      <c r="U10" s="65"/>
      <c r="V10" s="56"/>
      <c r="W10" s="57"/>
      <c r="X10" s="57"/>
      <c r="Y10" s="57"/>
      <c r="Z10" s="57"/>
      <c r="AA10" s="57"/>
      <c r="AB10" s="57"/>
      <c r="AC10" s="51"/>
      <c r="AD10" s="65"/>
      <c r="AE10" s="56"/>
      <c r="AF10" s="57"/>
      <c r="AG10" s="57"/>
      <c r="AH10" s="57"/>
      <c r="AI10" s="57"/>
      <c r="AJ10" s="57"/>
      <c r="AK10" s="57"/>
      <c r="AL10" s="51"/>
      <c r="AM10" s="65"/>
      <c r="AN10" s="56"/>
      <c r="AO10" s="57"/>
      <c r="AP10" s="57"/>
      <c r="AQ10" s="57"/>
      <c r="AR10" s="57"/>
      <c r="AS10" s="57"/>
      <c r="AT10" s="57"/>
      <c r="AU10" s="51"/>
      <c r="AV10" s="65"/>
      <c r="AW10" s="56"/>
      <c r="AX10" s="55"/>
      <c r="AY10" s="55"/>
      <c r="AZ10" s="55"/>
      <c r="BA10" s="55"/>
      <c r="BB10" s="55"/>
      <c r="BC10" s="55"/>
      <c r="BD10" s="51"/>
    </row>
    <row r="11" spans="1:56" ht="14.45" customHeight="1">
      <c r="A11" s="12" t="str">
        <f>Roster!A11</f>
        <v/>
      </c>
      <c r="B11" s="28">
        <f>Roster!C11</f>
        <v>0</v>
      </c>
      <c r="C11" s="55"/>
      <c r="D11" s="56"/>
      <c r="E11" s="57"/>
      <c r="F11" s="57"/>
      <c r="G11" s="57"/>
      <c r="H11" s="57"/>
      <c r="I11" s="57"/>
      <c r="J11" s="57"/>
      <c r="K11" s="51"/>
      <c r="L11" s="58"/>
      <c r="M11" s="56"/>
      <c r="N11" s="57"/>
      <c r="O11" s="57"/>
      <c r="P11" s="57"/>
      <c r="Q11" s="57"/>
      <c r="R11" s="57"/>
      <c r="S11" s="57"/>
      <c r="T11" s="51"/>
      <c r="U11" s="65"/>
      <c r="V11" s="56"/>
      <c r="W11" s="57"/>
      <c r="X11" s="57"/>
      <c r="Y11" s="57"/>
      <c r="Z11" s="57"/>
      <c r="AA11" s="57"/>
      <c r="AB11" s="57"/>
      <c r="AC11" s="51"/>
      <c r="AD11" s="65"/>
      <c r="AE11" s="56"/>
      <c r="AF11" s="57"/>
      <c r="AG11" s="57"/>
      <c r="AH11" s="57"/>
      <c r="AI11" s="57"/>
      <c r="AJ11" s="57"/>
      <c r="AK11" s="57"/>
      <c r="AL11" s="51"/>
      <c r="AM11" s="65"/>
      <c r="AN11" s="56"/>
      <c r="AO11" s="57"/>
      <c r="AP11" s="57"/>
      <c r="AQ11" s="57"/>
      <c r="AR11" s="57"/>
      <c r="AS11" s="57"/>
      <c r="AT11" s="57"/>
      <c r="AU11" s="51"/>
      <c r="AV11" s="65"/>
      <c r="AW11" s="56"/>
      <c r="AX11" s="55"/>
      <c r="AY11" s="55"/>
      <c r="AZ11" s="55"/>
      <c r="BA11" s="55"/>
      <c r="BB11" s="55"/>
      <c r="BC11" s="55"/>
      <c r="BD11" s="51"/>
    </row>
    <row r="12" spans="1:56">
      <c r="A12" s="12" t="str">
        <f>Roster!A12</f>
        <v/>
      </c>
      <c r="B12" s="28">
        <f>Roster!C12</f>
        <v>0</v>
      </c>
      <c r="C12" s="55"/>
      <c r="D12" s="56"/>
      <c r="E12" s="57"/>
      <c r="F12" s="57"/>
      <c r="G12" s="57"/>
      <c r="H12" s="57"/>
      <c r="I12" s="57"/>
      <c r="J12" s="57"/>
      <c r="K12" s="51"/>
      <c r="L12" s="58"/>
      <c r="M12" s="56"/>
      <c r="N12" s="57"/>
      <c r="O12" s="57"/>
      <c r="P12" s="57"/>
      <c r="Q12" s="57"/>
      <c r="R12" s="57"/>
      <c r="S12" s="57"/>
      <c r="T12" s="51"/>
      <c r="U12" s="65"/>
      <c r="V12" s="56"/>
      <c r="W12" s="57"/>
      <c r="X12" s="57"/>
      <c r="Y12" s="57"/>
      <c r="Z12" s="57"/>
      <c r="AA12" s="57"/>
      <c r="AB12" s="57"/>
      <c r="AC12" s="51"/>
      <c r="AD12" s="65"/>
      <c r="AE12" s="56"/>
      <c r="AF12" s="57"/>
      <c r="AG12" s="57"/>
      <c r="AH12" s="57"/>
      <c r="AI12" s="57"/>
      <c r="AJ12" s="57"/>
      <c r="AK12" s="57"/>
      <c r="AL12" s="51"/>
      <c r="AM12" s="65"/>
      <c r="AN12" s="56"/>
      <c r="AO12" s="57"/>
      <c r="AP12" s="57"/>
      <c r="AQ12" s="57"/>
      <c r="AR12" s="57"/>
      <c r="AS12" s="57"/>
      <c r="AT12" s="57"/>
      <c r="AU12" s="51"/>
      <c r="AV12" s="65"/>
      <c r="AW12" s="56"/>
      <c r="AX12" s="55"/>
      <c r="AY12" s="55"/>
      <c r="AZ12" s="55"/>
      <c r="BA12" s="55"/>
      <c r="BB12" s="55"/>
      <c r="BC12" s="55"/>
      <c r="BD12" s="51"/>
    </row>
    <row r="13" spans="1:56">
      <c r="A13" s="12" t="str">
        <f>Roster!A13</f>
        <v/>
      </c>
      <c r="B13" s="28">
        <f>Roster!C13</f>
        <v>0</v>
      </c>
      <c r="C13" s="55"/>
      <c r="D13" s="56"/>
      <c r="E13" s="57"/>
      <c r="F13" s="57"/>
      <c r="G13" s="57"/>
      <c r="H13" s="57"/>
      <c r="I13" s="57"/>
      <c r="J13" s="57"/>
      <c r="K13" s="51"/>
      <c r="L13" s="58"/>
      <c r="M13" s="56"/>
      <c r="N13" s="57"/>
      <c r="O13" s="57"/>
      <c r="P13" s="57"/>
      <c r="Q13" s="57"/>
      <c r="R13" s="57"/>
      <c r="S13" s="57"/>
      <c r="T13" s="51"/>
      <c r="U13" s="65"/>
      <c r="V13" s="56"/>
      <c r="W13" s="57"/>
      <c r="X13" s="57"/>
      <c r="Y13" s="57"/>
      <c r="Z13" s="57"/>
      <c r="AA13" s="57"/>
      <c r="AB13" s="57"/>
      <c r="AC13" s="51"/>
      <c r="AD13" s="65"/>
      <c r="AE13" s="56"/>
      <c r="AF13" s="57"/>
      <c r="AG13" s="57"/>
      <c r="AH13" s="57"/>
      <c r="AI13" s="57"/>
      <c r="AJ13" s="57"/>
      <c r="AK13" s="57"/>
      <c r="AL13" s="51"/>
      <c r="AM13" s="65"/>
      <c r="AN13" s="56"/>
      <c r="AO13" s="57"/>
      <c r="AP13" s="57"/>
      <c r="AQ13" s="57"/>
      <c r="AR13" s="57"/>
      <c r="AS13" s="57"/>
      <c r="AT13" s="57"/>
      <c r="AU13" s="51"/>
      <c r="AV13" s="65"/>
      <c r="AW13" s="56"/>
      <c r="AX13" s="55"/>
      <c r="AY13" s="55"/>
      <c r="AZ13" s="55"/>
      <c r="BA13" s="55"/>
      <c r="BB13" s="55"/>
      <c r="BC13" s="55"/>
      <c r="BD13" s="51"/>
    </row>
    <row r="14" spans="1:56">
      <c r="A14" s="12" t="str">
        <f>Roster!A14</f>
        <v/>
      </c>
      <c r="B14" s="28">
        <f>Roster!C14</f>
        <v>0</v>
      </c>
      <c r="C14" s="55"/>
      <c r="D14" s="56"/>
      <c r="E14" s="57"/>
      <c r="F14" s="57"/>
      <c r="G14" s="57"/>
      <c r="H14" s="57"/>
      <c r="I14" s="57"/>
      <c r="J14" s="57"/>
      <c r="K14" s="51"/>
      <c r="L14" s="58"/>
      <c r="M14" s="56"/>
      <c r="N14" s="57"/>
      <c r="O14" s="57"/>
      <c r="P14" s="57"/>
      <c r="Q14" s="57"/>
      <c r="R14" s="57"/>
      <c r="S14" s="57"/>
      <c r="T14" s="51"/>
      <c r="U14" s="65"/>
      <c r="V14" s="56"/>
      <c r="W14" s="57"/>
      <c r="X14" s="57"/>
      <c r="Y14" s="57"/>
      <c r="Z14" s="57"/>
      <c r="AA14" s="57"/>
      <c r="AB14" s="57"/>
      <c r="AC14" s="51"/>
      <c r="AD14" s="65"/>
      <c r="AE14" s="56"/>
      <c r="AF14" s="57"/>
      <c r="AG14" s="57"/>
      <c r="AH14" s="57"/>
      <c r="AI14" s="57"/>
      <c r="AJ14" s="57"/>
      <c r="AK14" s="57"/>
      <c r="AL14" s="51"/>
      <c r="AM14" s="65"/>
      <c r="AN14" s="56"/>
      <c r="AO14" s="57"/>
      <c r="AP14" s="57"/>
      <c r="AQ14" s="57"/>
      <c r="AR14" s="57"/>
      <c r="AS14" s="57"/>
      <c r="AT14" s="57"/>
      <c r="AU14" s="51"/>
      <c r="AV14" s="65"/>
      <c r="AW14" s="56"/>
      <c r="AX14" s="55"/>
      <c r="AY14" s="55"/>
      <c r="AZ14" s="55"/>
      <c r="BA14" s="55"/>
      <c r="BB14" s="55"/>
      <c r="BC14" s="55"/>
      <c r="BD14" s="51"/>
    </row>
    <row r="15" spans="1:56">
      <c r="A15" s="12" t="str">
        <f>Roster!A15</f>
        <v/>
      </c>
      <c r="B15" s="28">
        <f>Roster!C15</f>
        <v>0</v>
      </c>
      <c r="C15" s="55"/>
      <c r="D15" s="56"/>
      <c r="E15" s="57"/>
      <c r="F15" s="57"/>
      <c r="G15" s="57"/>
      <c r="H15" s="57"/>
      <c r="I15" s="57"/>
      <c r="J15" s="57"/>
      <c r="K15" s="51"/>
      <c r="L15" s="58"/>
      <c r="M15" s="56"/>
      <c r="N15" s="57"/>
      <c r="O15" s="57"/>
      <c r="P15" s="57"/>
      <c r="Q15" s="57"/>
      <c r="R15" s="57"/>
      <c r="S15" s="57"/>
      <c r="T15" s="51"/>
      <c r="U15" s="65"/>
      <c r="V15" s="56"/>
      <c r="W15" s="57"/>
      <c r="X15" s="57"/>
      <c r="Y15" s="57"/>
      <c r="Z15" s="57"/>
      <c r="AA15" s="57"/>
      <c r="AB15" s="57"/>
      <c r="AC15" s="51"/>
      <c r="AD15" s="65"/>
      <c r="AE15" s="56"/>
      <c r="AF15" s="57"/>
      <c r="AG15" s="57"/>
      <c r="AH15" s="57"/>
      <c r="AI15" s="57"/>
      <c r="AJ15" s="57"/>
      <c r="AK15" s="57"/>
      <c r="AL15" s="51"/>
      <c r="AM15" s="65"/>
      <c r="AN15" s="56"/>
      <c r="AO15" s="57"/>
      <c r="AP15" s="57"/>
      <c r="AQ15" s="57"/>
      <c r="AR15" s="57"/>
      <c r="AS15" s="57"/>
      <c r="AT15" s="57"/>
      <c r="AU15" s="51"/>
      <c r="AV15" s="65"/>
      <c r="AW15" s="56"/>
      <c r="AX15" s="55"/>
      <c r="AY15" s="55"/>
      <c r="AZ15" s="55"/>
      <c r="BA15" s="55"/>
      <c r="BB15" s="55"/>
      <c r="BC15" s="55"/>
      <c r="BD15" s="51"/>
    </row>
    <row r="16" spans="1:56">
      <c r="A16" s="12" t="str">
        <f>Roster!A16</f>
        <v/>
      </c>
      <c r="B16" s="28">
        <f>Roster!C16</f>
        <v>0</v>
      </c>
      <c r="C16" s="55"/>
      <c r="D16" s="56"/>
      <c r="E16" s="57"/>
      <c r="F16" s="57"/>
      <c r="G16" s="57"/>
      <c r="H16" s="57"/>
      <c r="I16" s="57"/>
      <c r="J16" s="57"/>
      <c r="K16" s="51"/>
      <c r="L16" s="58"/>
      <c r="M16" s="56"/>
      <c r="N16" s="57"/>
      <c r="O16" s="57"/>
      <c r="P16" s="57"/>
      <c r="Q16" s="57"/>
      <c r="R16" s="57"/>
      <c r="S16" s="57"/>
      <c r="T16" s="51"/>
      <c r="U16" s="65"/>
      <c r="V16" s="56"/>
      <c r="W16" s="57"/>
      <c r="X16" s="57"/>
      <c r="Y16" s="57"/>
      <c r="Z16" s="57"/>
      <c r="AA16" s="57"/>
      <c r="AB16" s="57"/>
      <c r="AC16" s="51"/>
      <c r="AD16" s="65"/>
      <c r="AE16" s="56"/>
      <c r="AF16" s="57"/>
      <c r="AG16" s="57"/>
      <c r="AH16" s="57"/>
      <c r="AI16" s="57"/>
      <c r="AJ16" s="57"/>
      <c r="AK16" s="57"/>
      <c r="AL16" s="51"/>
      <c r="AM16" s="65"/>
      <c r="AN16" s="56"/>
      <c r="AO16" s="57"/>
      <c r="AP16" s="57"/>
      <c r="AQ16" s="57"/>
      <c r="AR16" s="57"/>
      <c r="AS16" s="57"/>
      <c r="AT16" s="57"/>
      <c r="AU16" s="51"/>
      <c r="AV16" s="65"/>
      <c r="AW16" s="56"/>
      <c r="AX16" s="55"/>
      <c r="AY16" s="55"/>
      <c r="AZ16" s="55"/>
      <c r="BA16" s="55"/>
      <c r="BB16" s="55"/>
      <c r="BC16" s="55"/>
      <c r="BD16" s="51"/>
    </row>
    <row r="17" spans="1:56">
      <c r="A17" s="12" t="str">
        <f>Roster!A17</f>
        <v/>
      </c>
      <c r="B17" s="28">
        <f>Roster!C17</f>
        <v>0</v>
      </c>
      <c r="C17" s="55"/>
      <c r="D17" s="56"/>
      <c r="E17" s="57"/>
      <c r="F17" s="57"/>
      <c r="G17" s="57"/>
      <c r="H17" s="57"/>
      <c r="I17" s="57"/>
      <c r="J17" s="57"/>
      <c r="K17" s="51"/>
      <c r="L17" s="58"/>
      <c r="M17" s="56"/>
      <c r="N17" s="57"/>
      <c r="O17" s="57"/>
      <c r="P17" s="57"/>
      <c r="Q17" s="57"/>
      <c r="R17" s="57"/>
      <c r="S17" s="57"/>
      <c r="T17" s="51"/>
      <c r="U17" s="65"/>
      <c r="V17" s="56"/>
      <c r="W17" s="57"/>
      <c r="X17" s="57"/>
      <c r="Y17" s="57"/>
      <c r="Z17" s="57"/>
      <c r="AA17" s="57"/>
      <c r="AB17" s="57"/>
      <c r="AC17" s="51"/>
      <c r="AD17" s="65"/>
      <c r="AE17" s="56"/>
      <c r="AF17" s="57"/>
      <c r="AG17" s="57"/>
      <c r="AH17" s="57"/>
      <c r="AI17" s="57"/>
      <c r="AJ17" s="57"/>
      <c r="AK17" s="57"/>
      <c r="AL17" s="51"/>
      <c r="AM17" s="65"/>
      <c r="AN17" s="56"/>
      <c r="AO17" s="57"/>
      <c r="AP17" s="57"/>
      <c r="AQ17" s="57"/>
      <c r="AR17" s="57"/>
      <c r="AS17" s="57"/>
      <c r="AT17" s="57"/>
      <c r="AU17" s="51"/>
      <c r="AV17" s="65"/>
      <c r="AW17" s="56"/>
      <c r="AX17" s="55"/>
      <c r="AY17" s="55"/>
      <c r="AZ17" s="55"/>
      <c r="BA17" s="55"/>
      <c r="BB17" s="55"/>
      <c r="BC17" s="55"/>
      <c r="BD17" s="51"/>
    </row>
    <row r="18" spans="1:56">
      <c r="A18" s="12" t="str">
        <f>Roster!A18</f>
        <v/>
      </c>
      <c r="B18" s="28">
        <f>Roster!C18</f>
        <v>0</v>
      </c>
      <c r="C18" s="55"/>
      <c r="D18" s="56"/>
      <c r="E18" s="57"/>
      <c r="F18" s="57"/>
      <c r="G18" s="57"/>
      <c r="H18" s="57"/>
      <c r="I18" s="57"/>
      <c r="J18" s="57"/>
      <c r="K18" s="51"/>
      <c r="L18" s="58"/>
      <c r="M18" s="56"/>
      <c r="N18" s="57"/>
      <c r="O18" s="57"/>
      <c r="P18" s="57"/>
      <c r="Q18" s="57"/>
      <c r="R18" s="57"/>
      <c r="S18" s="57"/>
      <c r="T18" s="51"/>
      <c r="U18" s="65"/>
      <c r="V18" s="56"/>
      <c r="W18" s="57"/>
      <c r="X18" s="57"/>
      <c r="Y18" s="57"/>
      <c r="Z18" s="57"/>
      <c r="AA18" s="57"/>
      <c r="AB18" s="57"/>
      <c r="AC18" s="51"/>
      <c r="AD18" s="65"/>
      <c r="AE18" s="56"/>
      <c r="AF18" s="57"/>
      <c r="AG18" s="57"/>
      <c r="AH18" s="57"/>
      <c r="AI18" s="57"/>
      <c r="AJ18" s="57"/>
      <c r="AK18" s="57"/>
      <c r="AL18" s="51"/>
      <c r="AM18" s="65"/>
      <c r="AN18" s="56"/>
      <c r="AO18" s="57"/>
      <c r="AP18" s="57"/>
      <c r="AQ18" s="57"/>
      <c r="AR18" s="57"/>
      <c r="AS18" s="57"/>
      <c r="AT18" s="57"/>
      <c r="AU18" s="51"/>
      <c r="AV18" s="65"/>
      <c r="AW18" s="56"/>
      <c r="AX18" s="55"/>
      <c r="AY18" s="55"/>
      <c r="AZ18" s="55"/>
      <c r="BA18" s="55"/>
      <c r="BB18" s="55"/>
      <c r="BC18" s="55"/>
      <c r="BD18" s="51"/>
    </row>
    <row r="19" spans="1:56">
      <c r="A19" s="12" t="str">
        <f>Roster!A19</f>
        <v/>
      </c>
      <c r="B19" s="28">
        <f>Roster!C19</f>
        <v>0</v>
      </c>
      <c r="C19" s="55"/>
      <c r="D19" s="56"/>
      <c r="E19" s="57"/>
      <c r="F19" s="57"/>
      <c r="G19" s="57"/>
      <c r="H19" s="57"/>
      <c r="I19" s="57"/>
      <c r="J19" s="57"/>
      <c r="K19" s="51"/>
      <c r="L19" s="58"/>
      <c r="M19" s="56"/>
      <c r="N19" s="57"/>
      <c r="O19" s="57"/>
      <c r="P19" s="57"/>
      <c r="Q19" s="57"/>
      <c r="R19" s="57"/>
      <c r="S19" s="57"/>
      <c r="T19" s="51"/>
      <c r="U19" s="65"/>
      <c r="V19" s="56"/>
      <c r="W19" s="57"/>
      <c r="X19" s="57"/>
      <c r="Y19" s="57"/>
      <c r="Z19" s="57"/>
      <c r="AA19" s="57"/>
      <c r="AB19" s="57"/>
      <c r="AC19" s="51"/>
      <c r="AD19" s="65"/>
      <c r="AE19" s="56"/>
      <c r="AF19" s="57"/>
      <c r="AG19" s="57"/>
      <c r="AH19" s="57"/>
      <c r="AI19" s="57"/>
      <c r="AJ19" s="57"/>
      <c r="AK19" s="57"/>
      <c r="AL19" s="51"/>
      <c r="AM19" s="65"/>
      <c r="AN19" s="56"/>
      <c r="AO19" s="57"/>
      <c r="AP19" s="57"/>
      <c r="AQ19" s="57"/>
      <c r="AR19" s="57"/>
      <c r="AS19" s="57"/>
      <c r="AT19" s="57"/>
      <c r="AU19" s="51"/>
      <c r="AV19" s="65"/>
      <c r="AW19" s="56"/>
      <c r="AX19" s="55"/>
      <c r="AY19" s="55"/>
      <c r="AZ19" s="55"/>
      <c r="BA19" s="55"/>
      <c r="BB19" s="55"/>
      <c r="BC19" s="55"/>
      <c r="BD19" s="51"/>
    </row>
    <row r="20" spans="1:56">
      <c r="A20" s="12" t="str">
        <f>Roster!A20</f>
        <v/>
      </c>
      <c r="B20" s="28">
        <f>Roster!C20</f>
        <v>0</v>
      </c>
      <c r="C20" s="55"/>
      <c r="D20" s="56"/>
      <c r="E20" s="57"/>
      <c r="F20" s="57"/>
      <c r="G20" s="57"/>
      <c r="H20" s="57"/>
      <c r="I20" s="57"/>
      <c r="J20" s="57"/>
      <c r="K20" s="51"/>
      <c r="L20" s="58"/>
      <c r="M20" s="56"/>
      <c r="N20" s="57"/>
      <c r="O20" s="57"/>
      <c r="P20" s="57"/>
      <c r="Q20" s="57"/>
      <c r="R20" s="57"/>
      <c r="S20" s="57"/>
      <c r="T20" s="51"/>
      <c r="U20" s="65"/>
      <c r="V20" s="56"/>
      <c r="W20" s="57"/>
      <c r="X20" s="57"/>
      <c r="Y20" s="57"/>
      <c r="Z20" s="57"/>
      <c r="AA20" s="57"/>
      <c r="AB20" s="57"/>
      <c r="AC20" s="51"/>
      <c r="AD20" s="65"/>
      <c r="AE20" s="56"/>
      <c r="AF20" s="57"/>
      <c r="AG20" s="57"/>
      <c r="AH20" s="57"/>
      <c r="AI20" s="57"/>
      <c r="AJ20" s="57"/>
      <c r="AK20" s="57"/>
      <c r="AL20" s="51"/>
      <c r="AM20" s="65"/>
      <c r="AN20" s="56"/>
      <c r="AO20" s="57"/>
      <c r="AP20" s="57"/>
      <c r="AQ20" s="57"/>
      <c r="AR20" s="57"/>
      <c r="AS20" s="57"/>
      <c r="AT20" s="57"/>
      <c r="AU20" s="51"/>
      <c r="AV20" s="65"/>
      <c r="AW20" s="56"/>
      <c r="AX20" s="55"/>
      <c r="AY20" s="55"/>
      <c r="AZ20" s="55"/>
      <c r="BA20" s="55"/>
      <c r="BB20" s="55"/>
      <c r="BC20" s="55"/>
      <c r="BD20" s="51"/>
    </row>
    <row r="21" spans="1:56">
      <c r="A21" s="12" t="str">
        <f>Roster!A21</f>
        <v/>
      </c>
      <c r="B21" s="28">
        <f>Roster!C21</f>
        <v>0</v>
      </c>
      <c r="C21" s="55"/>
      <c r="D21" s="56"/>
      <c r="E21" s="57"/>
      <c r="F21" s="57"/>
      <c r="G21" s="57"/>
      <c r="H21" s="57"/>
      <c r="I21" s="57"/>
      <c r="J21" s="57"/>
      <c r="K21" s="51"/>
      <c r="L21" s="58"/>
      <c r="M21" s="56"/>
      <c r="N21" s="57"/>
      <c r="O21" s="57"/>
      <c r="P21" s="57"/>
      <c r="Q21" s="57"/>
      <c r="R21" s="57"/>
      <c r="S21" s="57"/>
      <c r="T21" s="51"/>
      <c r="U21" s="65"/>
      <c r="V21" s="56"/>
      <c r="W21" s="57"/>
      <c r="X21" s="57"/>
      <c r="Y21" s="57"/>
      <c r="Z21" s="57"/>
      <c r="AA21" s="57"/>
      <c r="AB21" s="57"/>
      <c r="AC21" s="51"/>
      <c r="AD21" s="65"/>
      <c r="AE21" s="56"/>
      <c r="AF21" s="57"/>
      <c r="AG21" s="57"/>
      <c r="AH21" s="57"/>
      <c r="AI21" s="57"/>
      <c r="AJ21" s="57"/>
      <c r="AK21" s="57"/>
      <c r="AL21" s="51"/>
      <c r="AM21" s="65"/>
      <c r="AN21" s="56"/>
      <c r="AO21" s="57"/>
      <c r="AP21" s="57"/>
      <c r="AQ21" s="57"/>
      <c r="AR21" s="57"/>
      <c r="AS21" s="57"/>
      <c r="AT21" s="57"/>
      <c r="AU21" s="51"/>
      <c r="AV21" s="65"/>
      <c r="AW21" s="56"/>
      <c r="AX21" s="55"/>
      <c r="AY21" s="55"/>
      <c r="AZ21" s="55"/>
      <c r="BA21" s="55"/>
      <c r="BB21" s="55"/>
      <c r="BC21" s="55"/>
      <c r="BD21" s="51"/>
    </row>
    <row r="22" spans="1:56">
      <c r="A22" s="12" t="str">
        <f>Roster!A22</f>
        <v/>
      </c>
      <c r="B22" s="28">
        <f>Roster!C22</f>
        <v>0</v>
      </c>
      <c r="C22" s="55"/>
      <c r="D22" s="56"/>
      <c r="E22" s="57"/>
      <c r="F22" s="57"/>
      <c r="G22" s="57"/>
      <c r="H22" s="57"/>
      <c r="I22" s="57"/>
      <c r="J22" s="57"/>
      <c r="K22" s="51"/>
      <c r="L22" s="58"/>
      <c r="M22" s="56"/>
      <c r="N22" s="57"/>
      <c r="O22" s="57"/>
      <c r="P22" s="57"/>
      <c r="Q22" s="57"/>
      <c r="R22" s="57"/>
      <c r="S22" s="57"/>
      <c r="T22" s="51"/>
      <c r="U22" s="65"/>
      <c r="V22" s="56"/>
      <c r="W22" s="57"/>
      <c r="X22" s="57"/>
      <c r="Y22" s="57"/>
      <c r="Z22" s="57"/>
      <c r="AA22" s="57"/>
      <c r="AB22" s="57"/>
      <c r="AC22" s="51"/>
      <c r="AD22" s="65"/>
      <c r="AE22" s="56"/>
      <c r="AF22" s="57"/>
      <c r="AG22" s="57"/>
      <c r="AH22" s="57"/>
      <c r="AI22" s="57"/>
      <c r="AJ22" s="57"/>
      <c r="AK22" s="57"/>
      <c r="AL22" s="51"/>
      <c r="AM22" s="65"/>
      <c r="AN22" s="56"/>
      <c r="AO22" s="57"/>
      <c r="AP22" s="57"/>
      <c r="AQ22" s="57"/>
      <c r="AR22" s="57"/>
      <c r="AS22" s="57"/>
      <c r="AT22" s="57"/>
      <c r="AU22" s="51"/>
      <c r="AV22" s="65"/>
      <c r="AW22" s="56"/>
      <c r="AX22" s="55"/>
      <c r="AY22" s="55"/>
      <c r="AZ22" s="55"/>
      <c r="BA22" s="55"/>
      <c r="BB22" s="55"/>
      <c r="BC22" s="55"/>
      <c r="BD22" s="51"/>
    </row>
    <row r="23" spans="1:56">
      <c r="A23" s="12" t="str">
        <f>Roster!A23</f>
        <v/>
      </c>
      <c r="B23" s="28">
        <f>Roster!C23</f>
        <v>0</v>
      </c>
      <c r="C23" s="55"/>
      <c r="D23" s="56"/>
      <c r="E23" s="57"/>
      <c r="F23" s="57"/>
      <c r="G23" s="57"/>
      <c r="H23" s="57"/>
      <c r="I23" s="57"/>
      <c r="J23" s="57"/>
      <c r="K23" s="51"/>
      <c r="L23" s="58"/>
      <c r="M23" s="56"/>
      <c r="N23" s="57"/>
      <c r="O23" s="57"/>
      <c r="P23" s="57"/>
      <c r="Q23" s="57"/>
      <c r="R23" s="57"/>
      <c r="S23" s="57"/>
      <c r="T23" s="51"/>
      <c r="U23" s="65"/>
      <c r="V23" s="56"/>
      <c r="W23" s="57"/>
      <c r="X23" s="57"/>
      <c r="Y23" s="57"/>
      <c r="Z23" s="57"/>
      <c r="AA23" s="57"/>
      <c r="AB23" s="57"/>
      <c r="AC23" s="51"/>
      <c r="AD23" s="65"/>
      <c r="AE23" s="56"/>
      <c r="AF23" s="57"/>
      <c r="AG23" s="57"/>
      <c r="AH23" s="57"/>
      <c r="AI23" s="57"/>
      <c r="AJ23" s="57"/>
      <c r="AK23" s="57"/>
      <c r="AL23" s="51"/>
      <c r="AM23" s="65"/>
      <c r="AN23" s="56"/>
      <c r="AO23" s="57"/>
      <c r="AP23" s="57"/>
      <c r="AQ23" s="57"/>
      <c r="AR23" s="57"/>
      <c r="AS23" s="57"/>
      <c r="AT23" s="57"/>
      <c r="AU23" s="51"/>
      <c r="AV23" s="65"/>
      <c r="AW23" s="56"/>
      <c r="AX23" s="55"/>
      <c r="AY23" s="55"/>
      <c r="AZ23" s="55"/>
      <c r="BA23" s="55"/>
      <c r="BB23" s="55"/>
      <c r="BC23" s="55"/>
      <c r="BD23" s="51"/>
    </row>
    <row r="24" spans="1:56">
      <c r="A24" s="12" t="str">
        <f>Roster!A24</f>
        <v/>
      </c>
      <c r="B24" s="28">
        <f>Roster!C24</f>
        <v>0</v>
      </c>
      <c r="C24" s="55"/>
      <c r="D24" s="56"/>
      <c r="E24" s="57"/>
      <c r="F24" s="57"/>
      <c r="G24" s="57"/>
      <c r="H24" s="57"/>
      <c r="I24" s="57"/>
      <c r="J24" s="57"/>
      <c r="K24" s="51"/>
      <c r="L24" s="58"/>
      <c r="M24" s="56"/>
      <c r="N24" s="57"/>
      <c r="O24" s="57"/>
      <c r="P24" s="57"/>
      <c r="Q24" s="57"/>
      <c r="R24" s="57"/>
      <c r="S24" s="57"/>
      <c r="T24" s="51"/>
      <c r="U24" s="65"/>
      <c r="V24" s="56"/>
      <c r="W24" s="57"/>
      <c r="X24" s="57"/>
      <c r="Y24" s="57"/>
      <c r="Z24" s="57"/>
      <c r="AA24" s="57"/>
      <c r="AB24" s="57"/>
      <c r="AC24" s="51"/>
      <c r="AD24" s="65"/>
      <c r="AE24" s="56"/>
      <c r="AF24" s="57"/>
      <c r="AG24" s="57"/>
      <c r="AH24" s="57"/>
      <c r="AI24" s="57"/>
      <c r="AJ24" s="57"/>
      <c r="AK24" s="57"/>
      <c r="AL24" s="51"/>
      <c r="AM24" s="65"/>
      <c r="AN24" s="56"/>
      <c r="AO24" s="57"/>
      <c r="AP24" s="57"/>
      <c r="AQ24" s="57"/>
      <c r="AR24" s="57"/>
      <c r="AS24" s="57"/>
      <c r="AT24" s="57"/>
      <c r="AU24" s="51"/>
      <c r="AV24" s="65"/>
      <c r="AW24" s="56"/>
      <c r="AX24" s="55"/>
      <c r="AY24" s="55"/>
      <c r="AZ24" s="55"/>
      <c r="BA24" s="55"/>
      <c r="BB24" s="55"/>
      <c r="BC24" s="55"/>
      <c r="BD24" s="51"/>
    </row>
    <row r="25" spans="1:56">
      <c r="A25" s="12" t="str">
        <f>Roster!A25</f>
        <v/>
      </c>
      <c r="B25" s="28">
        <f>Roster!C25</f>
        <v>0</v>
      </c>
      <c r="C25" s="55"/>
      <c r="D25" s="56"/>
      <c r="E25" s="57"/>
      <c r="F25" s="57"/>
      <c r="G25" s="57"/>
      <c r="H25" s="57"/>
      <c r="I25" s="57"/>
      <c r="J25" s="57"/>
      <c r="K25" s="51"/>
      <c r="L25" s="58"/>
      <c r="M25" s="56"/>
      <c r="N25" s="57"/>
      <c r="O25" s="57"/>
      <c r="P25" s="57"/>
      <c r="Q25" s="57"/>
      <c r="R25" s="57"/>
      <c r="S25" s="57"/>
      <c r="T25" s="51"/>
      <c r="U25" s="65"/>
      <c r="V25" s="56"/>
      <c r="W25" s="57"/>
      <c r="X25" s="57"/>
      <c r="Y25" s="57"/>
      <c r="Z25" s="57"/>
      <c r="AA25" s="57"/>
      <c r="AB25" s="57"/>
      <c r="AC25" s="51"/>
      <c r="AD25" s="65"/>
      <c r="AE25" s="56"/>
      <c r="AF25" s="57"/>
      <c r="AG25" s="57"/>
      <c r="AH25" s="57"/>
      <c r="AI25" s="57"/>
      <c r="AJ25" s="57"/>
      <c r="AK25" s="57"/>
      <c r="AL25" s="51"/>
      <c r="AM25" s="65"/>
      <c r="AN25" s="56"/>
      <c r="AO25" s="57"/>
      <c r="AP25" s="57"/>
      <c r="AQ25" s="57"/>
      <c r="AR25" s="57"/>
      <c r="AS25" s="57"/>
      <c r="AT25" s="57"/>
      <c r="AU25" s="51"/>
      <c r="AV25" s="65"/>
      <c r="AW25" s="56"/>
      <c r="AX25" s="55"/>
      <c r="AY25" s="55"/>
      <c r="AZ25" s="55"/>
      <c r="BA25" s="55"/>
      <c r="BB25" s="55"/>
      <c r="BC25" s="55"/>
      <c r="BD25" s="51"/>
    </row>
    <row r="26" spans="1:56">
      <c r="A26" s="12" t="str">
        <f>Roster!A26</f>
        <v/>
      </c>
      <c r="B26" s="28">
        <f>Roster!C26</f>
        <v>0</v>
      </c>
      <c r="C26" s="55"/>
      <c r="D26" s="56"/>
      <c r="E26" s="57"/>
      <c r="F26" s="57"/>
      <c r="G26" s="57"/>
      <c r="H26" s="57"/>
      <c r="I26" s="57"/>
      <c r="J26" s="57"/>
      <c r="K26" s="51"/>
      <c r="L26" s="58"/>
      <c r="M26" s="56"/>
      <c r="N26" s="57"/>
      <c r="O26" s="57"/>
      <c r="P26" s="57"/>
      <c r="Q26" s="57"/>
      <c r="R26" s="57"/>
      <c r="S26" s="57"/>
      <c r="T26" s="51"/>
      <c r="U26" s="65"/>
      <c r="V26" s="56"/>
      <c r="W26" s="57"/>
      <c r="X26" s="57"/>
      <c r="Y26" s="57"/>
      <c r="Z26" s="57"/>
      <c r="AA26" s="57"/>
      <c r="AB26" s="57"/>
      <c r="AC26" s="51"/>
      <c r="AD26" s="65"/>
      <c r="AE26" s="56"/>
      <c r="AF26" s="57"/>
      <c r="AG26" s="57"/>
      <c r="AH26" s="57"/>
      <c r="AI26" s="57"/>
      <c r="AJ26" s="57"/>
      <c r="AK26" s="57"/>
      <c r="AL26" s="51"/>
      <c r="AM26" s="65"/>
      <c r="AN26" s="56"/>
      <c r="AO26" s="57"/>
      <c r="AP26" s="57"/>
      <c r="AQ26" s="57"/>
      <c r="AR26" s="57"/>
      <c r="AS26" s="57"/>
      <c r="AT26" s="57"/>
      <c r="AU26" s="51"/>
      <c r="AV26" s="65"/>
      <c r="AW26" s="56"/>
      <c r="AX26" s="55"/>
      <c r="AY26" s="55"/>
      <c r="AZ26" s="55"/>
      <c r="BA26" s="55"/>
      <c r="BB26" s="55"/>
      <c r="BC26" s="55"/>
      <c r="BD26" s="51"/>
    </row>
    <row r="27" spans="1:56">
      <c r="A27" s="12" t="str">
        <f>Roster!A27</f>
        <v/>
      </c>
      <c r="B27" s="28">
        <f>Roster!C27</f>
        <v>0</v>
      </c>
      <c r="C27" s="55"/>
      <c r="D27" s="56"/>
      <c r="E27" s="57"/>
      <c r="F27" s="57"/>
      <c r="G27" s="57"/>
      <c r="H27" s="57"/>
      <c r="I27" s="57"/>
      <c r="J27" s="57"/>
      <c r="K27" s="51"/>
      <c r="L27" s="58"/>
      <c r="M27" s="56"/>
      <c r="N27" s="57"/>
      <c r="O27" s="57"/>
      <c r="P27" s="57"/>
      <c r="Q27" s="57"/>
      <c r="R27" s="57"/>
      <c r="S27" s="57"/>
      <c r="T27" s="51"/>
      <c r="U27" s="65"/>
      <c r="V27" s="56"/>
      <c r="W27" s="57"/>
      <c r="X27" s="57"/>
      <c r="Y27" s="57"/>
      <c r="Z27" s="57"/>
      <c r="AA27" s="57"/>
      <c r="AB27" s="57"/>
      <c r="AC27" s="51"/>
      <c r="AD27" s="65"/>
      <c r="AE27" s="56"/>
      <c r="AF27" s="57"/>
      <c r="AG27" s="57"/>
      <c r="AH27" s="57"/>
      <c r="AI27" s="57"/>
      <c r="AJ27" s="57"/>
      <c r="AK27" s="57"/>
      <c r="AL27" s="51"/>
      <c r="AM27" s="65"/>
      <c r="AN27" s="56"/>
      <c r="AO27" s="57"/>
      <c r="AP27" s="57"/>
      <c r="AQ27" s="57"/>
      <c r="AR27" s="57"/>
      <c r="AS27" s="57"/>
      <c r="AT27" s="57"/>
      <c r="AU27" s="51"/>
      <c r="AV27" s="65"/>
      <c r="AW27" s="56"/>
      <c r="AX27" s="55"/>
      <c r="AY27" s="55"/>
      <c r="AZ27" s="55"/>
      <c r="BA27" s="55"/>
      <c r="BB27" s="55"/>
      <c r="BC27" s="55"/>
      <c r="BD27" s="51"/>
    </row>
    <row r="28" spans="1:56">
      <c r="A28" s="12" t="str">
        <f>Roster!A28</f>
        <v/>
      </c>
      <c r="B28" s="28">
        <f>Roster!C28</f>
        <v>0</v>
      </c>
      <c r="C28" s="55"/>
      <c r="D28" s="56"/>
      <c r="E28" s="57"/>
      <c r="F28" s="57"/>
      <c r="G28" s="57"/>
      <c r="H28" s="57"/>
      <c r="I28" s="57"/>
      <c r="J28" s="57"/>
      <c r="K28" s="51"/>
      <c r="L28" s="58"/>
      <c r="M28" s="56"/>
      <c r="N28" s="57"/>
      <c r="O28" s="57"/>
      <c r="P28" s="57"/>
      <c r="Q28" s="57"/>
      <c r="R28" s="57"/>
      <c r="S28" s="57"/>
      <c r="T28" s="51"/>
      <c r="U28" s="65"/>
      <c r="V28" s="56"/>
      <c r="W28" s="57"/>
      <c r="X28" s="57"/>
      <c r="Y28" s="57"/>
      <c r="Z28" s="57"/>
      <c r="AA28" s="57"/>
      <c r="AB28" s="57"/>
      <c r="AC28" s="51"/>
      <c r="AD28" s="65"/>
      <c r="AE28" s="56"/>
      <c r="AF28" s="57"/>
      <c r="AG28" s="57"/>
      <c r="AH28" s="57"/>
      <c r="AI28" s="57"/>
      <c r="AJ28" s="57"/>
      <c r="AK28" s="57"/>
      <c r="AL28" s="51"/>
      <c r="AM28" s="65"/>
      <c r="AN28" s="56"/>
      <c r="AO28" s="57"/>
      <c r="AP28" s="57"/>
      <c r="AQ28" s="57"/>
      <c r="AR28" s="57"/>
      <c r="AS28" s="57"/>
      <c r="AT28" s="57"/>
      <c r="AU28" s="51"/>
      <c r="AV28" s="65"/>
      <c r="AW28" s="56"/>
      <c r="AX28" s="55"/>
      <c r="AY28" s="55"/>
      <c r="AZ28" s="55"/>
      <c r="BA28" s="55"/>
      <c r="BB28" s="55"/>
      <c r="BC28" s="55"/>
      <c r="BD28" s="51"/>
    </row>
    <row r="29" spans="1:56">
      <c r="A29" s="12" t="str">
        <f>Roster!A29</f>
        <v/>
      </c>
      <c r="B29" s="28">
        <f>Roster!C29</f>
        <v>0</v>
      </c>
      <c r="C29" s="55"/>
      <c r="D29" s="56"/>
      <c r="E29" s="57"/>
      <c r="F29" s="57"/>
      <c r="G29" s="57"/>
      <c r="H29" s="57"/>
      <c r="I29" s="57"/>
      <c r="J29" s="57"/>
      <c r="K29" s="51"/>
      <c r="L29" s="58"/>
      <c r="M29" s="56"/>
      <c r="N29" s="57"/>
      <c r="O29" s="57"/>
      <c r="P29" s="57"/>
      <c r="Q29" s="57"/>
      <c r="R29" s="57"/>
      <c r="S29" s="57"/>
      <c r="T29" s="51"/>
      <c r="U29" s="65"/>
      <c r="V29" s="56"/>
      <c r="W29" s="57"/>
      <c r="X29" s="57"/>
      <c r="Y29" s="57"/>
      <c r="Z29" s="57"/>
      <c r="AA29" s="57"/>
      <c r="AB29" s="57"/>
      <c r="AC29" s="51"/>
      <c r="AD29" s="65"/>
      <c r="AE29" s="56"/>
      <c r="AF29" s="57"/>
      <c r="AG29" s="57"/>
      <c r="AH29" s="57"/>
      <c r="AI29" s="57"/>
      <c r="AJ29" s="57"/>
      <c r="AK29" s="57"/>
      <c r="AL29" s="51"/>
      <c r="AM29" s="65"/>
      <c r="AN29" s="56"/>
      <c r="AO29" s="57"/>
      <c r="AP29" s="57"/>
      <c r="AQ29" s="57"/>
      <c r="AR29" s="57"/>
      <c r="AS29" s="57"/>
      <c r="AT29" s="57"/>
      <c r="AU29" s="51"/>
      <c r="AV29" s="65"/>
      <c r="AW29" s="56"/>
      <c r="AX29" s="55"/>
      <c r="AY29" s="55"/>
      <c r="AZ29" s="55"/>
      <c r="BA29" s="55"/>
      <c r="BB29" s="55"/>
      <c r="BC29" s="55"/>
      <c r="BD29" s="51"/>
    </row>
    <row r="30" spans="1:56">
      <c r="A30" s="12" t="str">
        <f>Roster!A30</f>
        <v/>
      </c>
      <c r="B30" s="28">
        <f>Roster!C30</f>
        <v>0</v>
      </c>
      <c r="C30" s="55"/>
      <c r="D30" s="56"/>
      <c r="E30" s="57"/>
      <c r="F30" s="57"/>
      <c r="G30" s="57"/>
      <c r="H30" s="57"/>
      <c r="I30" s="57"/>
      <c r="J30" s="57"/>
      <c r="K30" s="51"/>
      <c r="L30" s="58"/>
      <c r="M30" s="56"/>
      <c r="N30" s="57"/>
      <c r="O30" s="57"/>
      <c r="P30" s="57"/>
      <c r="Q30" s="57"/>
      <c r="R30" s="57"/>
      <c r="S30" s="57"/>
      <c r="T30" s="51"/>
      <c r="U30" s="65"/>
      <c r="V30" s="56"/>
      <c r="W30" s="57"/>
      <c r="X30" s="57"/>
      <c r="Y30" s="57"/>
      <c r="Z30" s="57"/>
      <c r="AA30" s="57"/>
      <c r="AB30" s="57"/>
      <c r="AC30" s="51"/>
      <c r="AD30" s="65"/>
      <c r="AE30" s="56"/>
      <c r="AF30" s="57"/>
      <c r="AG30" s="57"/>
      <c r="AH30" s="57"/>
      <c r="AI30" s="57"/>
      <c r="AJ30" s="57"/>
      <c r="AK30" s="57"/>
      <c r="AL30" s="51"/>
      <c r="AM30" s="65"/>
      <c r="AN30" s="56"/>
      <c r="AO30" s="57"/>
      <c r="AP30" s="57"/>
      <c r="AQ30" s="57"/>
      <c r="AR30" s="57"/>
      <c r="AS30" s="57"/>
      <c r="AT30" s="57"/>
      <c r="AU30" s="51"/>
      <c r="AV30" s="65"/>
      <c r="AW30" s="56"/>
      <c r="AX30" s="55"/>
      <c r="AY30" s="55"/>
      <c r="AZ30" s="55"/>
      <c r="BA30" s="55"/>
      <c r="BB30" s="55"/>
      <c r="BC30" s="55"/>
      <c r="BD30" s="51"/>
    </row>
    <row r="31" spans="1:56">
      <c r="A31" s="12" t="str">
        <f>Roster!A31</f>
        <v/>
      </c>
      <c r="B31" s="28">
        <f>Roster!C31</f>
        <v>0</v>
      </c>
      <c r="C31" s="55"/>
      <c r="D31" s="56"/>
      <c r="E31" s="57"/>
      <c r="F31" s="57"/>
      <c r="G31" s="57"/>
      <c r="H31" s="57"/>
      <c r="I31" s="57"/>
      <c r="J31" s="57"/>
      <c r="K31" s="51"/>
      <c r="L31" s="58"/>
      <c r="M31" s="56"/>
      <c r="N31" s="57"/>
      <c r="O31" s="57"/>
      <c r="P31" s="57"/>
      <c r="Q31" s="57"/>
      <c r="R31" s="57"/>
      <c r="S31" s="57"/>
      <c r="T31" s="51"/>
      <c r="U31" s="65"/>
      <c r="V31" s="56"/>
      <c r="W31" s="57"/>
      <c r="X31" s="57"/>
      <c r="Y31" s="57"/>
      <c r="Z31" s="57"/>
      <c r="AA31" s="57"/>
      <c r="AB31" s="57"/>
      <c r="AC31" s="51"/>
      <c r="AD31" s="65"/>
      <c r="AE31" s="56"/>
      <c r="AF31" s="57"/>
      <c r="AG31" s="57"/>
      <c r="AH31" s="57"/>
      <c r="AI31" s="57"/>
      <c r="AJ31" s="57"/>
      <c r="AK31" s="57"/>
      <c r="AL31" s="51"/>
      <c r="AM31" s="65"/>
      <c r="AN31" s="56"/>
      <c r="AO31" s="57"/>
      <c r="AP31" s="57"/>
      <c r="AQ31" s="57"/>
      <c r="AR31" s="57"/>
      <c r="AS31" s="57"/>
      <c r="AT31" s="57"/>
      <c r="AU31" s="51"/>
      <c r="AV31" s="65"/>
      <c r="AW31" s="56"/>
      <c r="AX31" s="55"/>
      <c r="AY31" s="55"/>
      <c r="AZ31" s="55"/>
      <c r="BA31" s="55"/>
      <c r="BB31" s="55"/>
      <c r="BC31" s="55"/>
      <c r="BD31" s="51"/>
    </row>
    <row r="32" spans="1:56">
      <c r="A32" s="12" t="str">
        <f>Roster!A32</f>
        <v/>
      </c>
      <c r="B32" s="28">
        <f>Roster!C32</f>
        <v>0</v>
      </c>
      <c r="C32" s="55"/>
      <c r="D32" s="56"/>
      <c r="E32" s="57"/>
      <c r="F32" s="57"/>
      <c r="G32" s="57"/>
      <c r="H32" s="57"/>
      <c r="I32" s="57"/>
      <c r="J32" s="57"/>
      <c r="K32" s="51"/>
      <c r="L32" s="58"/>
      <c r="M32" s="56"/>
      <c r="N32" s="57"/>
      <c r="O32" s="57"/>
      <c r="P32" s="57"/>
      <c r="Q32" s="57"/>
      <c r="R32" s="57"/>
      <c r="S32" s="57"/>
      <c r="T32" s="51"/>
      <c r="U32" s="65"/>
      <c r="V32" s="56"/>
      <c r="W32" s="57"/>
      <c r="X32" s="57"/>
      <c r="Y32" s="57"/>
      <c r="Z32" s="57"/>
      <c r="AA32" s="57"/>
      <c r="AB32" s="57"/>
      <c r="AC32" s="51"/>
      <c r="AD32" s="65"/>
      <c r="AE32" s="56"/>
      <c r="AF32" s="57"/>
      <c r="AG32" s="57"/>
      <c r="AH32" s="57"/>
      <c r="AI32" s="57"/>
      <c r="AJ32" s="57"/>
      <c r="AK32" s="57"/>
      <c r="AL32" s="51"/>
      <c r="AM32" s="65"/>
      <c r="AN32" s="56"/>
      <c r="AO32" s="57"/>
      <c r="AP32" s="57"/>
      <c r="AQ32" s="57"/>
      <c r="AR32" s="57"/>
      <c r="AS32" s="57"/>
      <c r="AT32" s="57"/>
      <c r="AU32" s="51"/>
      <c r="AV32" s="65"/>
      <c r="AW32" s="56"/>
      <c r="AX32" s="55"/>
      <c r="AY32" s="55"/>
      <c r="AZ32" s="55"/>
      <c r="BA32" s="55"/>
      <c r="BB32" s="55"/>
      <c r="BC32" s="55"/>
      <c r="BD32" s="51"/>
    </row>
    <row r="33" spans="1:56">
      <c r="A33" s="12" t="str">
        <f>Roster!A33</f>
        <v/>
      </c>
      <c r="B33" s="28">
        <f>Roster!C33</f>
        <v>0</v>
      </c>
      <c r="C33" s="55"/>
      <c r="D33" s="56"/>
      <c r="E33" s="57"/>
      <c r="F33" s="57"/>
      <c r="G33" s="57"/>
      <c r="H33" s="57"/>
      <c r="I33" s="57"/>
      <c r="J33" s="57"/>
      <c r="K33" s="51"/>
      <c r="L33" s="58"/>
      <c r="M33" s="56"/>
      <c r="N33" s="57"/>
      <c r="O33" s="57"/>
      <c r="P33" s="57"/>
      <c r="Q33" s="57"/>
      <c r="R33" s="57"/>
      <c r="S33" s="57"/>
      <c r="T33" s="51"/>
      <c r="U33" s="65"/>
      <c r="V33" s="56"/>
      <c r="W33" s="57"/>
      <c r="X33" s="57"/>
      <c r="Y33" s="57"/>
      <c r="Z33" s="57"/>
      <c r="AA33" s="57"/>
      <c r="AB33" s="57"/>
      <c r="AC33" s="51"/>
      <c r="AD33" s="65"/>
      <c r="AE33" s="56"/>
      <c r="AF33" s="57"/>
      <c r="AG33" s="57"/>
      <c r="AH33" s="57"/>
      <c r="AI33" s="57"/>
      <c r="AJ33" s="57"/>
      <c r="AK33" s="57"/>
      <c r="AL33" s="51"/>
      <c r="AM33" s="65"/>
      <c r="AN33" s="56"/>
      <c r="AO33" s="57"/>
      <c r="AP33" s="57"/>
      <c r="AQ33" s="57"/>
      <c r="AR33" s="57"/>
      <c r="AS33" s="57"/>
      <c r="AT33" s="57"/>
      <c r="AU33" s="51"/>
      <c r="AV33" s="65"/>
      <c r="AW33" s="56"/>
      <c r="AX33" s="55"/>
      <c r="AY33" s="55"/>
      <c r="AZ33" s="55"/>
      <c r="BA33" s="55"/>
      <c r="BB33" s="55"/>
      <c r="BC33" s="55"/>
      <c r="BD33" s="51"/>
    </row>
    <row r="34" spans="1:56">
      <c r="A34" s="12" t="str">
        <f>Roster!A34</f>
        <v/>
      </c>
      <c r="B34" s="28">
        <f>Roster!C34</f>
        <v>0</v>
      </c>
      <c r="C34" s="55"/>
      <c r="D34" s="56"/>
      <c r="E34" s="57"/>
      <c r="F34" s="57"/>
      <c r="G34" s="57"/>
      <c r="H34" s="57"/>
      <c r="I34" s="57"/>
      <c r="J34" s="57"/>
      <c r="K34" s="51"/>
      <c r="L34" s="58"/>
      <c r="M34" s="56"/>
      <c r="N34" s="57"/>
      <c r="O34" s="57"/>
      <c r="P34" s="57"/>
      <c r="Q34" s="57"/>
      <c r="R34" s="57"/>
      <c r="S34" s="57"/>
      <c r="T34" s="51"/>
      <c r="U34" s="65"/>
      <c r="V34" s="56"/>
      <c r="W34" s="57"/>
      <c r="X34" s="57"/>
      <c r="Y34" s="57"/>
      <c r="Z34" s="57"/>
      <c r="AA34" s="57"/>
      <c r="AB34" s="57"/>
      <c r="AC34" s="51"/>
      <c r="AD34" s="65"/>
      <c r="AE34" s="56"/>
      <c r="AF34" s="57"/>
      <c r="AG34" s="57"/>
      <c r="AH34" s="57"/>
      <c r="AI34" s="57"/>
      <c r="AJ34" s="57"/>
      <c r="AK34" s="57"/>
      <c r="AL34" s="51"/>
      <c r="AM34" s="65"/>
      <c r="AN34" s="56"/>
      <c r="AO34" s="57"/>
      <c r="AP34" s="57"/>
      <c r="AQ34" s="57"/>
      <c r="AR34" s="57"/>
      <c r="AS34" s="57"/>
      <c r="AT34" s="57"/>
      <c r="AU34" s="51"/>
      <c r="AV34" s="65"/>
      <c r="AW34" s="56"/>
      <c r="AX34" s="55"/>
      <c r="AY34" s="55"/>
      <c r="AZ34" s="55"/>
      <c r="BA34" s="55"/>
      <c r="BB34" s="55"/>
      <c r="BC34" s="55"/>
      <c r="BD34" s="51"/>
    </row>
    <row r="35" spans="1:56">
      <c r="A35" s="12" t="str">
        <f>Roster!A35</f>
        <v/>
      </c>
      <c r="B35" s="28">
        <f>Roster!C35</f>
        <v>0</v>
      </c>
      <c r="C35" s="55"/>
      <c r="D35" s="56"/>
      <c r="E35" s="57"/>
      <c r="F35" s="57"/>
      <c r="G35" s="57"/>
      <c r="H35" s="57"/>
      <c r="I35" s="57"/>
      <c r="J35" s="57"/>
      <c r="K35" s="51"/>
      <c r="L35" s="58"/>
      <c r="M35" s="56"/>
      <c r="N35" s="57"/>
      <c r="O35" s="57"/>
      <c r="P35" s="57"/>
      <c r="Q35" s="57"/>
      <c r="R35" s="57"/>
      <c r="S35" s="57"/>
      <c r="T35" s="51"/>
      <c r="U35" s="65"/>
      <c r="V35" s="56"/>
      <c r="W35" s="57"/>
      <c r="X35" s="57"/>
      <c r="Y35" s="57"/>
      <c r="Z35" s="57"/>
      <c r="AA35" s="57"/>
      <c r="AB35" s="57"/>
      <c r="AC35" s="51"/>
      <c r="AD35" s="65"/>
      <c r="AE35" s="56"/>
      <c r="AF35" s="57"/>
      <c r="AG35" s="57"/>
      <c r="AH35" s="57"/>
      <c r="AI35" s="57"/>
      <c r="AJ35" s="57"/>
      <c r="AK35" s="57"/>
      <c r="AL35" s="51"/>
      <c r="AM35" s="65"/>
      <c r="AN35" s="56"/>
      <c r="AO35" s="57"/>
      <c r="AP35" s="57"/>
      <c r="AQ35" s="57"/>
      <c r="AR35" s="57"/>
      <c r="AS35" s="57"/>
      <c r="AT35" s="57"/>
      <c r="AU35" s="51"/>
      <c r="AV35" s="65"/>
      <c r="AW35" s="56"/>
      <c r="AX35" s="55"/>
      <c r="AY35" s="55"/>
      <c r="AZ35" s="55"/>
      <c r="BA35" s="55"/>
      <c r="BB35" s="55"/>
      <c r="BC35" s="55"/>
      <c r="BD35" s="51"/>
    </row>
    <row r="36" spans="1:56">
      <c r="A36" s="12" t="str">
        <f>Roster!A36</f>
        <v/>
      </c>
      <c r="B36" s="28">
        <f>Roster!C36</f>
        <v>0</v>
      </c>
      <c r="C36" s="55"/>
      <c r="D36" s="56"/>
      <c r="E36" s="57"/>
      <c r="F36" s="57"/>
      <c r="G36" s="57"/>
      <c r="H36" s="57"/>
      <c r="I36" s="57"/>
      <c r="J36" s="57"/>
      <c r="K36" s="51"/>
      <c r="L36" s="58"/>
      <c r="M36" s="56"/>
      <c r="N36" s="57"/>
      <c r="O36" s="57"/>
      <c r="P36" s="57"/>
      <c r="Q36" s="57"/>
      <c r="R36" s="57"/>
      <c r="S36" s="57"/>
      <c r="T36" s="51"/>
      <c r="U36" s="65"/>
      <c r="V36" s="56"/>
      <c r="W36" s="57"/>
      <c r="X36" s="57"/>
      <c r="Y36" s="57"/>
      <c r="Z36" s="57"/>
      <c r="AA36" s="57"/>
      <c r="AB36" s="57"/>
      <c r="AC36" s="51"/>
      <c r="AD36" s="65"/>
      <c r="AE36" s="56"/>
      <c r="AF36" s="57"/>
      <c r="AG36" s="57"/>
      <c r="AH36" s="57"/>
      <c r="AI36" s="57"/>
      <c r="AJ36" s="57"/>
      <c r="AK36" s="57"/>
      <c r="AL36" s="51"/>
      <c r="AM36" s="65"/>
      <c r="AN36" s="56"/>
      <c r="AO36" s="57"/>
      <c r="AP36" s="57"/>
      <c r="AQ36" s="57"/>
      <c r="AR36" s="57"/>
      <c r="AS36" s="57"/>
      <c r="AT36" s="57"/>
      <c r="AU36" s="51"/>
      <c r="AV36" s="65"/>
      <c r="AW36" s="56"/>
      <c r="AX36" s="55"/>
      <c r="AY36" s="55"/>
      <c r="AZ36" s="55"/>
      <c r="BA36" s="55"/>
      <c r="BB36" s="55"/>
      <c r="BC36" s="55"/>
      <c r="BD36" s="51"/>
    </row>
    <row r="37" spans="1:56">
      <c r="A37" s="12" t="str">
        <f>Roster!A37</f>
        <v/>
      </c>
      <c r="B37" s="28">
        <f>Roster!C37</f>
        <v>0</v>
      </c>
      <c r="C37" s="55"/>
      <c r="D37" s="56"/>
      <c r="E37" s="57"/>
      <c r="F37" s="57"/>
      <c r="G37" s="57"/>
      <c r="H37" s="57"/>
      <c r="I37" s="57"/>
      <c r="J37" s="57"/>
      <c r="K37" s="51"/>
      <c r="L37" s="58"/>
      <c r="M37" s="56"/>
      <c r="N37" s="57"/>
      <c r="O37" s="57"/>
      <c r="P37" s="57"/>
      <c r="Q37" s="57"/>
      <c r="R37" s="57"/>
      <c r="S37" s="57"/>
      <c r="T37" s="51"/>
      <c r="U37" s="65"/>
      <c r="V37" s="56"/>
      <c r="W37" s="57"/>
      <c r="X37" s="57"/>
      <c r="Y37" s="57"/>
      <c r="Z37" s="57"/>
      <c r="AA37" s="57"/>
      <c r="AB37" s="57"/>
      <c r="AC37" s="51"/>
      <c r="AD37" s="65"/>
      <c r="AE37" s="56"/>
      <c r="AF37" s="57"/>
      <c r="AG37" s="57"/>
      <c r="AH37" s="57"/>
      <c r="AI37" s="57"/>
      <c r="AJ37" s="57"/>
      <c r="AK37" s="57"/>
      <c r="AL37" s="51"/>
      <c r="AM37" s="65"/>
      <c r="AN37" s="56"/>
      <c r="AO37" s="57"/>
      <c r="AP37" s="57"/>
      <c r="AQ37" s="57"/>
      <c r="AR37" s="57"/>
      <c r="AS37" s="57"/>
      <c r="AT37" s="57"/>
      <c r="AU37" s="51"/>
      <c r="AV37" s="65"/>
      <c r="AW37" s="56"/>
      <c r="AX37" s="55"/>
      <c r="AY37" s="55"/>
      <c r="AZ37" s="55"/>
      <c r="BA37" s="55"/>
      <c r="BB37" s="55"/>
      <c r="BC37" s="55"/>
      <c r="BD37" s="51"/>
    </row>
    <row r="38" spans="1:56">
      <c r="A38" s="12" t="str">
        <f>Roster!A38</f>
        <v/>
      </c>
      <c r="B38" s="28">
        <f>Roster!C38</f>
        <v>0</v>
      </c>
      <c r="C38" s="55"/>
      <c r="D38" s="56"/>
      <c r="E38" s="57"/>
      <c r="F38" s="57"/>
      <c r="G38" s="57"/>
      <c r="H38" s="57"/>
      <c r="I38" s="57"/>
      <c r="J38" s="57"/>
      <c r="K38" s="51"/>
      <c r="L38" s="58"/>
      <c r="M38" s="56"/>
      <c r="N38" s="57"/>
      <c r="O38" s="57"/>
      <c r="P38" s="57"/>
      <c r="Q38" s="57"/>
      <c r="R38" s="57"/>
      <c r="S38" s="57"/>
      <c r="T38" s="51"/>
      <c r="U38" s="65"/>
      <c r="V38" s="56"/>
      <c r="W38" s="57"/>
      <c r="X38" s="57"/>
      <c r="Y38" s="57"/>
      <c r="Z38" s="57"/>
      <c r="AA38" s="57"/>
      <c r="AB38" s="57"/>
      <c r="AC38" s="51"/>
      <c r="AD38" s="65"/>
      <c r="AE38" s="56"/>
      <c r="AF38" s="57"/>
      <c r="AG38" s="57"/>
      <c r="AH38" s="57"/>
      <c r="AI38" s="57"/>
      <c r="AJ38" s="57"/>
      <c r="AK38" s="57"/>
      <c r="AL38" s="51"/>
      <c r="AM38" s="65"/>
      <c r="AN38" s="56"/>
      <c r="AO38" s="57"/>
      <c r="AP38" s="57"/>
      <c r="AQ38" s="57"/>
      <c r="AR38" s="57"/>
      <c r="AS38" s="57"/>
      <c r="AT38" s="57"/>
      <c r="AU38" s="51"/>
      <c r="AV38" s="65"/>
      <c r="AW38" s="56"/>
      <c r="AX38" s="55"/>
      <c r="AY38" s="55"/>
      <c r="AZ38" s="55"/>
      <c r="BA38" s="55"/>
      <c r="BB38" s="55"/>
      <c r="BC38" s="55"/>
      <c r="BD38" s="51"/>
    </row>
    <row r="39" spans="1:56">
      <c r="A39" s="12" t="str">
        <f>Roster!A39</f>
        <v/>
      </c>
      <c r="B39" s="28">
        <f>Roster!C39</f>
        <v>0</v>
      </c>
      <c r="C39" s="55"/>
      <c r="D39" s="56"/>
      <c r="E39" s="57"/>
      <c r="F39" s="57"/>
      <c r="G39" s="57"/>
      <c r="H39" s="57"/>
      <c r="I39" s="57"/>
      <c r="J39" s="57"/>
      <c r="K39" s="51"/>
      <c r="L39" s="58"/>
      <c r="M39" s="56"/>
      <c r="N39" s="57"/>
      <c r="O39" s="57"/>
      <c r="P39" s="57"/>
      <c r="Q39" s="57"/>
      <c r="R39" s="57"/>
      <c r="S39" s="57"/>
      <c r="T39" s="51"/>
      <c r="U39" s="65"/>
      <c r="V39" s="56"/>
      <c r="W39" s="57"/>
      <c r="X39" s="57"/>
      <c r="Y39" s="57"/>
      <c r="Z39" s="57"/>
      <c r="AA39" s="57"/>
      <c r="AB39" s="57"/>
      <c r="AC39" s="51"/>
      <c r="AD39" s="65"/>
      <c r="AE39" s="56"/>
      <c r="AF39" s="57"/>
      <c r="AG39" s="57"/>
      <c r="AH39" s="57"/>
      <c r="AI39" s="57"/>
      <c r="AJ39" s="57"/>
      <c r="AK39" s="57"/>
      <c r="AL39" s="51"/>
      <c r="AM39" s="65"/>
      <c r="AN39" s="56"/>
      <c r="AO39" s="57"/>
      <c r="AP39" s="57"/>
      <c r="AQ39" s="57"/>
      <c r="AR39" s="57"/>
      <c r="AS39" s="57"/>
      <c r="AT39" s="57"/>
      <c r="AU39" s="51"/>
      <c r="AV39" s="65"/>
      <c r="AW39" s="56"/>
      <c r="AX39" s="55"/>
      <c r="AY39" s="55"/>
      <c r="AZ39" s="55"/>
      <c r="BA39" s="55"/>
      <c r="BB39" s="55"/>
      <c r="BC39" s="55"/>
      <c r="BD39" s="51"/>
    </row>
    <row r="40" spans="1:56">
      <c r="A40" s="12" t="str">
        <f>Roster!A40</f>
        <v/>
      </c>
      <c r="B40" s="28">
        <f>Roster!C40</f>
        <v>0</v>
      </c>
      <c r="C40" s="55"/>
      <c r="D40" s="56"/>
      <c r="E40" s="57"/>
      <c r="F40" s="57"/>
      <c r="G40" s="57"/>
      <c r="H40" s="57"/>
      <c r="I40" s="57"/>
      <c r="J40" s="57"/>
      <c r="K40" s="51"/>
      <c r="L40" s="58"/>
      <c r="M40" s="56"/>
      <c r="N40" s="57"/>
      <c r="O40" s="57"/>
      <c r="P40" s="57"/>
      <c r="Q40" s="57"/>
      <c r="R40" s="57"/>
      <c r="S40" s="57"/>
      <c r="T40" s="51"/>
      <c r="U40" s="65"/>
      <c r="V40" s="56"/>
      <c r="W40" s="57"/>
      <c r="X40" s="57"/>
      <c r="Y40" s="57"/>
      <c r="Z40" s="57"/>
      <c r="AA40" s="57"/>
      <c r="AB40" s="57"/>
      <c r="AC40" s="51"/>
      <c r="AD40" s="65"/>
      <c r="AE40" s="56"/>
      <c r="AF40" s="57"/>
      <c r="AG40" s="57"/>
      <c r="AH40" s="57"/>
      <c r="AI40" s="57"/>
      <c r="AJ40" s="57"/>
      <c r="AK40" s="57"/>
      <c r="AL40" s="51"/>
      <c r="AM40" s="65"/>
      <c r="AN40" s="56"/>
      <c r="AO40" s="57"/>
      <c r="AP40" s="57"/>
      <c r="AQ40" s="57"/>
      <c r="AR40" s="57"/>
      <c r="AS40" s="57"/>
      <c r="AT40" s="57"/>
      <c r="AU40" s="51"/>
      <c r="AV40" s="65"/>
      <c r="AW40" s="56"/>
      <c r="AX40" s="55"/>
      <c r="AY40" s="55"/>
      <c r="AZ40" s="55"/>
      <c r="BA40" s="55"/>
      <c r="BB40" s="55"/>
      <c r="BC40" s="55"/>
      <c r="BD40" s="51"/>
    </row>
    <row r="41" spans="1:56">
      <c r="A41" s="12" t="str">
        <f>Roster!A41</f>
        <v/>
      </c>
      <c r="B41" s="28">
        <f>Roster!C41</f>
        <v>0</v>
      </c>
      <c r="C41" s="55"/>
      <c r="D41" s="56"/>
      <c r="E41" s="57"/>
      <c r="F41" s="57"/>
      <c r="G41" s="57"/>
      <c r="H41" s="57"/>
      <c r="I41" s="57"/>
      <c r="J41" s="57"/>
      <c r="K41" s="51"/>
      <c r="L41" s="58"/>
      <c r="M41" s="56"/>
      <c r="N41" s="57"/>
      <c r="O41" s="57"/>
      <c r="P41" s="57"/>
      <c r="Q41" s="57"/>
      <c r="R41" s="57"/>
      <c r="S41" s="57"/>
      <c r="T41" s="51"/>
      <c r="U41" s="65"/>
      <c r="V41" s="56"/>
      <c r="W41" s="57"/>
      <c r="X41" s="57"/>
      <c r="Y41" s="57"/>
      <c r="Z41" s="57"/>
      <c r="AA41" s="57"/>
      <c r="AB41" s="57"/>
      <c r="AC41" s="51"/>
      <c r="AD41" s="65"/>
      <c r="AE41" s="56"/>
      <c r="AF41" s="57"/>
      <c r="AG41" s="57"/>
      <c r="AH41" s="57"/>
      <c r="AI41" s="57"/>
      <c r="AJ41" s="57"/>
      <c r="AK41" s="57"/>
      <c r="AL41" s="51"/>
      <c r="AM41" s="65"/>
      <c r="AN41" s="56"/>
      <c r="AO41" s="57"/>
      <c r="AP41" s="57"/>
      <c r="AQ41" s="57"/>
      <c r="AR41" s="57"/>
      <c r="AS41" s="57"/>
      <c r="AT41" s="57"/>
      <c r="AU41" s="51"/>
      <c r="AV41" s="65"/>
      <c r="AW41" s="56"/>
      <c r="AX41" s="55"/>
      <c r="AY41" s="55"/>
      <c r="AZ41" s="55"/>
      <c r="BA41" s="55"/>
      <c r="BB41" s="55"/>
      <c r="BC41" s="55"/>
      <c r="BD41" s="51"/>
    </row>
    <row r="42" spans="1:56">
      <c r="A42" s="12" t="str">
        <f>Roster!A42</f>
        <v/>
      </c>
      <c r="B42" s="28">
        <f>Roster!C42</f>
        <v>0</v>
      </c>
      <c r="C42" s="55"/>
      <c r="D42" s="56"/>
      <c r="E42" s="57"/>
      <c r="F42" s="57"/>
      <c r="G42" s="57"/>
      <c r="H42" s="57"/>
      <c r="I42" s="57"/>
      <c r="J42" s="57"/>
      <c r="K42" s="51"/>
      <c r="L42" s="58"/>
      <c r="M42" s="56"/>
      <c r="N42" s="57"/>
      <c r="O42" s="57"/>
      <c r="P42" s="57"/>
      <c r="Q42" s="57"/>
      <c r="R42" s="57"/>
      <c r="S42" s="57"/>
      <c r="T42" s="51"/>
      <c r="U42" s="65"/>
      <c r="V42" s="56"/>
      <c r="W42" s="57"/>
      <c r="X42" s="57"/>
      <c r="Y42" s="57"/>
      <c r="Z42" s="57"/>
      <c r="AA42" s="57"/>
      <c r="AB42" s="57"/>
      <c r="AC42" s="51"/>
      <c r="AD42" s="65"/>
      <c r="AE42" s="56"/>
      <c r="AF42" s="57"/>
      <c r="AG42" s="57"/>
      <c r="AH42" s="57"/>
      <c r="AI42" s="57"/>
      <c r="AJ42" s="57"/>
      <c r="AK42" s="57"/>
      <c r="AL42" s="51"/>
      <c r="AM42" s="65"/>
      <c r="AN42" s="56"/>
      <c r="AO42" s="57"/>
      <c r="AP42" s="57"/>
      <c r="AQ42" s="57"/>
      <c r="AR42" s="57"/>
      <c r="AS42" s="57"/>
      <c r="AT42" s="57"/>
      <c r="AU42" s="51"/>
      <c r="AV42" s="65"/>
      <c r="AW42" s="56"/>
      <c r="AX42" s="55"/>
      <c r="AY42" s="55"/>
      <c r="AZ42" s="55"/>
      <c r="BA42" s="55"/>
      <c r="BB42" s="55"/>
      <c r="BC42" s="55"/>
      <c r="BD42" s="51"/>
    </row>
    <row r="43" spans="1:56">
      <c r="A43" s="12" t="str">
        <f>Roster!A43</f>
        <v/>
      </c>
      <c r="B43" s="28">
        <f>Roster!C43</f>
        <v>0</v>
      </c>
      <c r="C43" s="55"/>
      <c r="D43" s="56"/>
      <c r="E43" s="57"/>
      <c r="F43" s="57"/>
      <c r="G43" s="57"/>
      <c r="H43" s="57"/>
      <c r="I43" s="57"/>
      <c r="J43" s="57"/>
      <c r="K43" s="51"/>
      <c r="L43" s="58"/>
      <c r="M43" s="56"/>
      <c r="N43" s="57"/>
      <c r="O43" s="57"/>
      <c r="P43" s="57"/>
      <c r="Q43" s="57"/>
      <c r="R43" s="57"/>
      <c r="S43" s="57"/>
      <c r="T43" s="51"/>
      <c r="U43" s="65"/>
      <c r="V43" s="56"/>
      <c r="W43" s="57"/>
      <c r="X43" s="57"/>
      <c r="Y43" s="57"/>
      <c r="Z43" s="57"/>
      <c r="AA43" s="57"/>
      <c r="AB43" s="57"/>
      <c r="AC43" s="51"/>
      <c r="AD43" s="65"/>
      <c r="AE43" s="56"/>
      <c r="AF43" s="57"/>
      <c r="AG43" s="57"/>
      <c r="AH43" s="57"/>
      <c r="AI43" s="57"/>
      <c r="AJ43" s="57"/>
      <c r="AK43" s="57"/>
      <c r="AL43" s="51"/>
      <c r="AM43" s="65"/>
      <c r="AN43" s="56"/>
      <c r="AO43" s="57"/>
      <c r="AP43" s="57"/>
      <c r="AQ43" s="57"/>
      <c r="AR43" s="57"/>
      <c r="AS43" s="57"/>
      <c r="AT43" s="57"/>
      <c r="AU43" s="51"/>
      <c r="AV43" s="65"/>
      <c r="AW43" s="56"/>
      <c r="AX43" s="55"/>
      <c r="AY43" s="55"/>
      <c r="AZ43" s="55"/>
      <c r="BA43" s="55"/>
      <c r="BB43" s="55"/>
      <c r="BC43" s="55"/>
      <c r="BD43" s="51"/>
    </row>
    <row r="44" spans="1:56">
      <c r="A44" s="12" t="str">
        <f>Roster!A44</f>
        <v/>
      </c>
      <c r="B44" s="28">
        <f>Roster!C44</f>
        <v>0</v>
      </c>
      <c r="C44" s="55"/>
      <c r="D44" s="56"/>
      <c r="E44" s="57"/>
      <c r="F44" s="57"/>
      <c r="G44" s="57"/>
      <c r="H44" s="57"/>
      <c r="I44" s="57"/>
      <c r="J44" s="57"/>
      <c r="K44" s="51"/>
      <c r="L44" s="58"/>
      <c r="M44" s="56"/>
      <c r="N44" s="57"/>
      <c r="O44" s="57"/>
      <c r="P44" s="57"/>
      <c r="Q44" s="57"/>
      <c r="R44" s="57"/>
      <c r="S44" s="57"/>
      <c r="T44" s="51"/>
      <c r="U44" s="65"/>
      <c r="V44" s="56"/>
      <c r="W44" s="57"/>
      <c r="X44" s="57"/>
      <c r="Y44" s="57"/>
      <c r="Z44" s="57"/>
      <c r="AA44" s="57"/>
      <c r="AB44" s="57"/>
      <c r="AC44" s="51"/>
      <c r="AD44" s="65"/>
      <c r="AE44" s="56"/>
      <c r="AF44" s="57"/>
      <c r="AG44" s="57"/>
      <c r="AH44" s="57"/>
      <c r="AI44" s="57"/>
      <c r="AJ44" s="57"/>
      <c r="AK44" s="57"/>
      <c r="AL44" s="51"/>
      <c r="AM44" s="65"/>
      <c r="AN44" s="56"/>
      <c r="AO44" s="57"/>
      <c r="AP44" s="57"/>
      <c r="AQ44" s="57"/>
      <c r="AR44" s="57"/>
      <c r="AS44" s="57"/>
      <c r="AT44" s="57"/>
      <c r="AU44" s="51"/>
      <c r="AV44" s="65"/>
      <c r="AW44" s="56"/>
      <c r="AX44" s="55"/>
      <c r="AY44" s="55"/>
      <c r="AZ44" s="55"/>
      <c r="BA44" s="55"/>
      <c r="BB44" s="55"/>
      <c r="BC44" s="55"/>
      <c r="BD44" s="51"/>
    </row>
    <row r="45" spans="1:56">
      <c r="A45" s="12" t="str">
        <f>Roster!A45</f>
        <v/>
      </c>
      <c r="B45" s="28">
        <f>Roster!C45</f>
        <v>0</v>
      </c>
      <c r="C45" s="55"/>
      <c r="D45" s="56"/>
      <c r="E45" s="57"/>
      <c r="F45" s="57"/>
      <c r="G45" s="57"/>
      <c r="H45" s="57"/>
      <c r="I45" s="57"/>
      <c r="J45" s="57"/>
      <c r="K45" s="51"/>
      <c r="L45" s="58"/>
      <c r="M45" s="56"/>
      <c r="N45" s="57"/>
      <c r="O45" s="57"/>
      <c r="P45" s="57"/>
      <c r="Q45" s="57"/>
      <c r="R45" s="57"/>
      <c r="S45" s="57"/>
      <c r="T45" s="51"/>
      <c r="U45" s="65"/>
      <c r="V45" s="56"/>
      <c r="W45" s="57"/>
      <c r="X45" s="57"/>
      <c r="Y45" s="57"/>
      <c r="Z45" s="57"/>
      <c r="AA45" s="57"/>
      <c r="AB45" s="57"/>
      <c r="AC45" s="51"/>
      <c r="AD45" s="65"/>
      <c r="AE45" s="56"/>
      <c r="AF45" s="57"/>
      <c r="AG45" s="57"/>
      <c r="AH45" s="57"/>
      <c r="AI45" s="57"/>
      <c r="AJ45" s="57"/>
      <c r="AK45" s="57"/>
      <c r="AL45" s="51"/>
      <c r="AM45" s="65"/>
      <c r="AN45" s="56"/>
      <c r="AO45" s="57"/>
      <c r="AP45" s="57"/>
      <c r="AQ45" s="57"/>
      <c r="AR45" s="57"/>
      <c r="AS45" s="57"/>
      <c r="AT45" s="57"/>
      <c r="AU45" s="51"/>
      <c r="AV45" s="65"/>
      <c r="AW45" s="56"/>
      <c r="AX45" s="55"/>
      <c r="AY45" s="55"/>
      <c r="AZ45" s="55"/>
      <c r="BA45" s="55"/>
      <c r="BB45" s="55"/>
      <c r="BC45" s="55"/>
      <c r="BD45" s="51"/>
    </row>
    <row r="46" spans="1:56">
      <c r="A46" s="12" t="str">
        <f>Roster!A46</f>
        <v/>
      </c>
      <c r="B46" s="28">
        <f>Roster!C46</f>
        <v>0</v>
      </c>
      <c r="C46" s="55"/>
      <c r="D46" s="56"/>
      <c r="E46" s="57"/>
      <c r="F46" s="57"/>
      <c r="G46" s="57"/>
      <c r="H46" s="57"/>
      <c r="I46" s="57"/>
      <c r="J46" s="57"/>
      <c r="K46" s="51"/>
      <c r="L46" s="58"/>
      <c r="M46" s="56"/>
      <c r="N46" s="57"/>
      <c r="O46" s="57"/>
      <c r="P46" s="57"/>
      <c r="Q46" s="57"/>
      <c r="R46" s="57"/>
      <c r="S46" s="57"/>
      <c r="T46" s="51"/>
      <c r="U46" s="65"/>
      <c r="V46" s="56"/>
      <c r="W46" s="57"/>
      <c r="X46" s="57"/>
      <c r="Y46" s="57"/>
      <c r="Z46" s="57"/>
      <c r="AA46" s="57"/>
      <c r="AB46" s="57"/>
      <c r="AC46" s="51"/>
      <c r="AD46" s="65"/>
      <c r="AE46" s="56"/>
      <c r="AF46" s="57"/>
      <c r="AG46" s="57"/>
      <c r="AH46" s="57"/>
      <c r="AI46" s="57"/>
      <c r="AJ46" s="57"/>
      <c r="AK46" s="57"/>
      <c r="AL46" s="51"/>
      <c r="AM46" s="65"/>
      <c r="AN46" s="56"/>
      <c r="AO46" s="57"/>
      <c r="AP46" s="57"/>
      <c r="AQ46" s="57"/>
      <c r="AR46" s="57"/>
      <c r="AS46" s="57"/>
      <c r="AT46" s="57"/>
      <c r="AU46" s="51"/>
      <c r="AV46" s="65"/>
      <c r="AW46" s="56"/>
      <c r="AX46" s="55"/>
      <c r="AY46" s="55"/>
      <c r="AZ46" s="55"/>
      <c r="BA46" s="55"/>
      <c r="BB46" s="55"/>
      <c r="BC46" s="55"/>
      <c r="BD46" s="51"/>
    </row>
    <row r="47" spans="1:56">
      <c r="A47" s="12" t="str">
        <f>Roster!A47</f>
        <v/>
      </c>
      <c r="B47" s="28">
        <f>Roster!C47</f>
        <v>0</v>
      </c>
      <c r="C47" s="55"/>
      <c r="D47" s="56"/>
      <c r="E47" s="57"/>
      <c r="F47" s="57"/>
      <c r="G47" s="57"/>
      <c r="H47" s="57"/>
      <c r="I47" s="57"/>
      <c r="J47" s="57"/>
      <c r="K47" s="51"/>
      <c r="L47" s="58"/>
      <c r="M47" s="56"/>
      <c r="N47" s="57"/>
      <c r="O47" s="57"/>
      <c r="P47" s="57"/>
      <c r="Q47" s="57"/>
      <c r="R47" s="57"/>
      <c r="S47" s="57"/>
      <c r="T47" s="51"/>
      <c r="U47" s="65"/>
      <c r="V47" s="56"/>
      <c r="W47" s="57"/>
      <c r="X47" s="57"/>
      <c r="Y47" s="57"/>
      <c r="Z47" s="57"/>
      <c r="AA47" s="57"/>
      <c r="AB47" s="57"/>
      <c r="AC47" s="51"/>
      <c r="AD47" s="65"/>
      <c r="AE47" s="56"/>
      <c r="AF47" s="57"/>
      <c r="AG47" s="57"/>
      <c r="AH47" s="57"/>
      <c r="AI47" s="57"/>
      <c r="AJ47" s="57"/>
      <c r="AK47" s="57"/>
      <c r="AL47" s="51"/>
      <c r="AM47" s="65"/>
      <c r="AN47" s="56"/>
      <c r="AO47" s="57"/>
      <c r="AP47" s="57"/>
      <c r="AQ47" s="57"/>
      <c r="AR47" s="57"/>
      <c r="AS47" s="57"/>
      <c r="AT47" s="57"/>
      <c r="AU47" s="51"/>
      <c r="AV47" s="65"/>
      <c r="AW47" s="56"/>
      <c r="AX47" s="55"/>
      <c r="AY47" s="55"/>
      <c r="AZ47" s="55"/>
      <c r="BA47" s="55"/>
      <c r="BB47" s="55"/>
      <c r="BC47" s="55"/>
      <c r="BD47" s="51"/>
    </row>
    <row r="48" spans="1:56">
      <c r="A48" s="12" t="str">
        <f>Roster!A48</f>
        <v/>
      </c>
      <c r="B48" s="28">
        <f>Roster!C48</f>
        <v>0</v>
      </c>
      <c r="C48" s="55"/>
      <c r="D48" s="56"/>
      <c r="E48" s="57"/>
      <c r="F48" s="57"/>
      <c r="G48" s="57"/>
      <c r="H48" s="57"/>
      <c r="I48" s="57"/>
      <c r="J48" s="57"/>
      <c r="K48" s="51"/>
      <c r="L48" s="58"/>
      <c r="M48" s="56"/>
      <c r="N48" s="57"/>
      <c r="O48" s="57"/>
      <c r="P48" s="57"/>
      <c r="Q48" s="57"/>
      <c r="R48" s="57"/>
      <c r="S48" s="57"/>
      <c r="T48" s="51"/>
      <c r="U48" s="65"/>
      <c r="V48" s="56"/>
      <c r="W48" s="57"/>
      <c r="X48" s="57"/>
      <c r="Y48" s="57"/>
      <c r="Z48" s="57"/>
      <c r="AA48" s="57"/>
      <c r="AB48" s="57"/>
      <c r="AC48" s="51"/>
      <c r="AD48" s="65"/>
      <c r="AE48" s="56"/>
      <c r="AF48" s="57"/>
      <c r="AG48" s="57"/>
      <c r="AH48" s="57"/>
      <c r="AI48" s="57"/>
      <c r="AJ48" s="57"/>
      <c r="AK48" s="57"/>
      <c r="AL48" s="51"/>
      <c r="AM48" s="65"/>
      <c r="AN48" s="56"/>
      <c r="AO48" s="57"/>
      <c r="AP48" s="57"/>
      <c r="AQ48" s="57"/>
      <c r="AR48" s="57"/>
      <c r="AS48" s="57"/>
      <c r="AT48" s="57"/>
      <c r="AU48" s="51"/>
      <c r="AV48" s="65"/>
      <c r="AW48" s="56"/>
      <c r="AX48" s="55"/>
      <c r="AY48" s="55"/>
      <c r="AZ48" s="55"/>
      <c r="BA48" s="55"/>
      <c r="BB48" s="55"/>
      <c r="BC48" s="55"/>
      <c r="BD48" s="51"/>
    </row>
    <row r="49" spans="1:56">
      <c r="A49" s="12" t="str">
        <f>Roster!A49</f>
        <v/>
      </c>
      <c r="B49" s="28">
        <f>Roster!C49</f>
        <v>0</v>
      </c>
      <c r="C49" s="55"/>
      <c r="D49" s="56"/>
      <c r="E49" s="57"/>
      <c r="F49" s="57"/>
      <c r="G49" s="57"/>
      <c r="H49" s="57"/>
      <c r="I49" s="57"/>
      <c r="J49" s="57"/>
      <c r="K49" s="51"/>
      <c r="L49" s="58"/>
      <c r="M49" s="56"/>
      <c r="N49" s="57"/>
      <c r="O49" s="57"/>
      <c r="P49" s="57"/>
      <c r="Q49" s="57"/>
      <c r="R49" s="57"/>
      <c r="S49" s="57"/>
      <c r="T49" s="51"/>
      <c r="U49" s="65"/>
      <c r="V49" s="56"/>
      <c r="W49" s="57"/>
      <c r="X49" s="57"/>
      <c r="Y49" s="57"/>
      <c r="Z49" s="57"/>
      <c r="AA49" s="57"/>
      <c r="AB49" s="57"/>
      <c r="AC49" s="51"/>
      <c r="AD49" s="65"/>
      <c r="AE49" s="56"/>
      <c r="AF49" s="57"/>
      <c r="AG49" s="57"/>
      <c r="AH49" s="57"/>
      <c r="AI49" s="57"/>
      <c r="AJ49" s="57"/>
      <c r="AK49" s="57"/>
      <c r="AL49" s="51"/>
      <c r="AM49" s="65"/>
      <c r="AN49" s="56"/>
      <c r="AO49" s="57"/>
      <c r="AP49" s="57"/>
      <c r="AQ49" s="57"/>
      <c r="AR49" s="57"/>
      <c r="AS49" s="57"/>
      <c r="AT49" s="57"/>
      <c r="AU49" s="51"/>
      <c r="AV49" s="65"/>
      <c r="AW49" s="56"/>
      <c r="AX49" s="55"/>
      <c r="AY49" s="55"/>
      <c r="AZ49" s="55"/>
      <c r="BA49" s="55"/>
      <c r="BB49" s="55"/>
      <c r="BC49" s="55"/>
      <c r="BD49" s="51"/>
    </row>
    <row r="50" spans="1:56">
      <c r="A50" s="12" t="str">
        <f>Roster!A50</f>
        <v/>
      </c>
      <c r="B50" s="28">
        <f>Roster!C50</f>
        <v>0</v>
      </c>
      <c r="C50" s="55"/>
      <c r="D50" s="56"/>
      <c r="E50" s="57"/>
      <c r="F50" s="57"/>
      <c r="G50" s="57"/>
      <c r="H50" s="57"/>
      <c r="I50" s="57"/>
      <c r="J50" s="57"/>
      <c r="K50" s="51"/>
      <c r="L50" s="58"/>
      <c r="M50" s="56"/>
      <c r="N50" s="57"/>
      <c r="O50" s="57"/>
      <c r="P50" s="57"/>
      <c r="Q50" s="57"/>
      <c r="R50" s="57"/>
      <c r="S50" s="57"/>
      <c r="T50" s="51"/>
      <c r="U50" s="65"/>
      <c r="V50" s="56"/>
      <c r="W50" s="57"/>
      <c r="X50" s="57"/>
      <c r="Y50" s="57"/>
      <c r="Z50" s="57"/>
      <c r="AA50" s="57"/>
      <c r="AB50" s="57"/>
      <c r="AC50" s="51"/>
      <c r="AD50" s="65"/>
      <c r="AE50" s="56"/>
      <c r="AF50" s="57"/>
      <c r="AG50" s="57"/>
      <c r="AH50" s="57"/>
      <c r="AI50" s="57"/>
      <c r="AJ50" s="57"/>
      <c r="AK50" s="57"/>
      <c r="AL50" s="51"/>
      <c r="AM50" s="65"/>
      <c r="AN50" s="56"/>
      <c r="AO50" s="57"/>
      <c r="AP50" s="57"/>
      <c r="AQ50" s="57"/>
      <c r="AR50" s="57"/>
      <c r="AS50" s="57"/>
      <c r="AT50" s="57"/>
      <c r="AU50" s="51"/>
      <c r="AV50" s="65"/>
      <c r="AW50" s="56"/>
      <c r="AX50" s="55"/>
      <c r="AY50" s="55"/>
      <c r="AZ50" s="55"/>
      <c r="BA50" s="55"/>
      <c r="BB50" s="55"/>
      <c r="BC50" s="55"/>
      <c r="BD50" s="51"/>
    </row>
    <row r="51" spans="1:56">
      <c r="A51" s="12" t="str">
        <f>Roster!A51</f>
        <v/>
      </c>
      <c r="B51" s="28">
        <f>Roster!C51</f>
        <v>0</v>
      </c>
      <c r="C51" s="55"/>
      <c r="D51" s="56"/>
      <c r="E51" s="57"/>
      <c r="F51" s="57"/>
      <c r="G51" s="57"/>
      <c r="H51" s="57"/>
      <c r="I51" s="57"/>
      <c r="J51" s="57"/>
      <c r="K51" s="51"/>
      <c r="L51" s="58"/>
      <c r="M51" s="56"/>
      <c r="N51" s="57"/>
      <c r="O51" s="57"/>
      <c r="P51" s="57"/>
      <c r="Q51" s="57"/>
      <c r="R51" s="57"/>
      <c r="S51" s="57"/>
      <c r="T51" s="51"/>
      <c r="U51" s="65"/>
      <c r="V51" s="56"/>
      <c r="W51" s="57"/>
      <c r="X51" s="57"/>
      <c r="Y51" s="57"/>
      <c r="Z51" s="57"/>
      <c r="AA51" s="57"/>
      <c r="AB51" s="57"/>
      <c r="AC51" s="51"/>
      <c r="AD51" s="65"/>
      <c r="AE51" s="56"/>
      <c r="AF51" s="57"/>
      <c r="AG51" s="57"/>
      <c r="AH51" s="57"/>
      <c r="AI51" s="57"/>
      <c r="AJ51" s="57"/>
      <c r="AK51" s="57"/>
      <c r="AL51" s="51"/>
      <c r="AM51" s="65"/>
      <c r="AN51" s="56"/>
      <c r="AO51" s="57"/>
      <c r="AP51" s="57"/>
      <c r="AQ51" s="57"/>
      <c r="AR51" s="57"/>
      <c r="AS51" s="57"/>
      <c r="AT51" s="57"/>
      <c r="AU51" s="51"/>
      <c r="AV51" s="65"/>
      <c r="AW51" s="56"/>
      <c r="AX51" s="55"/>
      <c r="AY51" s="55"/>
      <c r="AZ51" s="55"/>
      <c r="BA51" s="55"/>
      <c r="BB51" s="55"/>
      <c r="BC51" s="55"/>
      <c r="BD51" s="51"/>
    </row>
    <row r="52" spans="1:56">
      <c r="A52" s="12" t="str">
        <f>Roster!A52</f>
        <v/>
      </c>
      <c r="B52" s="28">
        <f>Roster!C52</f>
        <v>0</v>
      </c>
      <c r="C52" s="55"/>
      <c r="D52" s="56"/>
      <c r="E52" s="57"/>
      <c r="F52" s="57"/>
      <c r="G52" s="57"/>
      <c r="H52" s="57"/>
      <c r="I52" s="57"/>
      <c r="J52" s="57"/>
      <c r="K52" s="51"/>
      <c r="L52" s="58"/>
      <c r="M52" s="56"/>
      <c r="N52" s="57"/>
      <c r="O52" s="57"/>
      <c r="P52" s="57"/>
      <c r="Q52" s="57"/>
      <c r="R52" s="57"/>
      <c r="S52" s="57"/>
      <c r="T52" s="51"/>
      <c r="U52" s="65"/>
      <c r="V52" s="56"/>
      <c r="W52" s="57"/>
      <c r="X52" s="57"/>
      <c r="Y52" s="57"/>
      <c r="Z52" s="57"/>
      <c r="AA52" s="57"/>
      <c r="AB52" s="57"/>
      <c r="AC52" s="51"/>
      <c r="AD52" s="65"/>
      <c r="AE52" s="56"/>
      <c r="AF52" s="57"/>
      <c r="AG52" s="57"/>
      <c r="AH52" s="57"/>
      <c r="AI52" s="57"/>
      <c r="AJ52" s="57"/>
      <c r="AK52" s="57"/>
      <c r="AL52" s="51"/>
      <c r="AM52" s="65"/>
      <c r="AN52" s="56"/>
      <c r="AO52" s="57"/>
      <c r="AP52" s="57"/>
      <c r="AQ52" s="57"/>
      <c r="AR52" s="57"/>
      <c r="AS52" s="57"/>
      <c r="AT52" s="57"/>
      <c r="AU52" s="51"/>
      <c r="AV52" s="65"/>
      <c r="AW52" s="56"/>
      <c r="AX52" s="55"/>
      <c r="AY52" s="55"/>
      <c r="AZ52" s="55"/>
      <c r="BA52" s="55"/>
      <c r="BB52" s="55"/>
      <c r="BC52" s="55"/>
      <c r="BD52" s="51"/>
    </row>
    <row r="53" spans="1:56">
      <c r="A53" s="12" t="str">
        <f>Roster!A53</f>
        <v/>
      </c>
      <c r="B53" s="28">
        <f>Roster!C53</f>
        <v>0</v>
      </c>
      <c r="C53" s="55"/>
      <c r="D53" s="56"/>
      <c r="E53" s="57"/>
      <c r="F53" s="57"/>
      <c r="G53" s="57"/>
      <c r="H53" s="57"/>
      <c r="I53" s="57"/>
      <c r="J53" s="57"/>
      <c r="K53" s="45"/>
      <c r="L53" s="58"/>
      <c r="M53" s="56"/>
      <c r="N53" s="57"/>
      <c r="O53" s="57"/>
      <c r="P53" s="57"/>
      <c r="Q53" s="57"/>
      <c r="R53" s="57"/>
      <c r="S53" s="57"/>
      <c r="T53" s="45"/>
      <c r="U53" s="71"/>
      <c r="V53" s="57"/>
      <c r="W53" s="57"/>
      <c r="X53" s="57"/>
      <c r="Y53" s="57"/>
      <c r="Z53" s="57"/>
      <c r="AA53" s="57"/>
      <c r="AB53" s="57"/>
      <c r="AC53" s="57"/>
      <c r="AD53" s="71"/>
      <c r="AE53" s="57"/>
      <c r="AF53" s="57"/>
      <c r="AG53" s="57"/>
      <c r="AH53" s="57"/>
      <c r="AI53" s="57"/>
      <c r="AJ53" s="57"/>
      <c r="AK53" s="57"/>
      <c r="AL53" s="57"/>
      <c r="AM53" s="71"/>
      <c r="AN53" s="57"/>
      <c r="AO53" s="57"/>
      <c r="AP53" s="57"/>
      <c r="AQ53" s="57"/>
      <c r="AR53" s="57"/>
      <c r="AS53" s="57"/>
      <c r="AT53" s="57"/>
      <c r="AU53" s="57"/>
      <c r="AV53" s="71"/>
      <c r="AW53" s="57"/>
      <c r="AX53" s="55"/>
      <c r="AY53" s="55"/>
      <c r="AZ53" s="55"/>
      <c r="BA53" s="55"/>
      <c r="BB53" s="55"/>
      <c r="BC53" s="55"/>
      <c r="BD53" s="57"/>
    </row>
    <row r="54" spans="1:56">
      <c r="A54" s="12" t="str">
        <f>Roster!A54</f>
        <v/>
      </c>
      <c r="B54" s="28">
        <f>Roster!C54</f>
        <v>0</v>
      </c>
      <c r="C54" s="55"/>
      <c r="D54" s="56"/>
      <c r="E54" s="57"/>
      <c r="F54" s="57"/>
      <c r="G54" s="57"/>
      <c r="H54" s="57"/>
      <c r="I54" s="57"/>
      <c r="J54" s="57"/>
      <c r="K54" s="45"/>
      <c r="L54" s="58"/>
      <c r="M54" s="56"/>
      <c r="N54" s="57"/>
      <c r="O54" s="57"/>
      <c r="P54" s="57"/>
      <c r="Q54" s="57"/>
      <c r="R54" s="57"/>
      <c r="S54" s="57"/>
      <c r="T54" s="45"/>
      <c r="U54" s="71"/>
      <c r="V54" s="57"/>
      <c r="W54" s="57"/>
      <c r="X54" s="57"/>
      <c r="Y54" s="57"/>
      <c r="Z54" s="57"/>
      <c r="AA54" s="57"/>
      <c r="AB54" s="57"/>
      <c r="AC54" s="57"/>
      <c r="AD54" s="71"/>
      <c r="AE54" s="57"/>
      <c r="AF54" s="57"/>
      <c r="AG54" s="57"/>
      <c r="AH54" s="57"/>
      <c r="AI54" s="57"/>
      <c r="AJ54" s="57"/>
      <c r="AK54" s="57"/>
      <c r="AL54" s="57"/>
      <c r="AM54" s="71"/>
      <c r="AN54" s="57"/>
      <c r="AO54" s="57"/>
      <c r="AP54" s="57"/>
      <c r="AQ54" s="57"/>
      <c r="AR54" s="57"/>
      <c r="AS54" s="57"/>
      <c r="AT54" s="57"/>
      <c r="AU54" s="57"/>
      <c r="AV54" s="71"/>
      <c r="AW54" s="57"/>
      <c r="AX54" s="55"/>
      <c r="AY54" s="55"/>
      <c r="AZ54" s="55"/>
      <c r="BA54" s="55"/>
      <c r="BB54" s="55"/>
      <c r="BC54" s="55"/>
      <c r="BD54" s="57"/>
    </row>
    <row r="55" spans="1:56">
      <c r="A55" s="12" t="str">
        <f>Roster!A55</f>
        <v/>
      </c>
      <c r="B55" s="28">
        <f>Roster!C55</f>
        <v>0</v>
      </c>
      <c r="C55" s="55"/>
      <c r="D55" s="56"/>
      <c r="E55" s="57"/>
      <c r="F55" s="57"/>
      <c r="G55" s="57"/>
      <c r="H55" s="57"/>
      <c r="I55" s="57"/>
      <c r="J55" s="57"/>
      <c r="K55" s="45"/>
      <c r="L55" s="58"/>
      <c r="M55" s="56"/>
      <c r="N55" s="57"/>
      <c r="O55" s="57"/>
      <c r="P55" s="57"/>
      <c r="Q55" s="57"/>
      <c r="R55" s="57"/>
      <c r="S55" s="57"/>
      <c r="T55" s="45"/>
      <c r="U55" s="71"/>
      <c r="V55" s="57"/>
      <c r="W55" s="57"/>
      <c r="X55" s="57"/>
      <c r="Y55" s="57"/>
      <c r="Z55" s="57"/>
      <c r="AA55" s="57"/>
      <c r="AB55" s="57"/>
      <c r="AC55" s="57"/>
      <c r="AD55" s="71"/>
      <c r="AE55" s="57"/>
      <c r="AF55" s="57"/>
      <c r="AG55" s="57"/>
      <c r="AH55" s="57"/>
      <c r="AI55" s="57"/>
      <c r="AJ55" s="57"/>
      <c r="AK55" s="57"/>
      <c r="AL55" s="57"/>
      <c r="AM55" s="71"/>
      <c r="AN55" s="57"/>
      <c r="AO55" s="57"/>
      <c r="AP55" s="57"/>
      <c r="AQ55" s="57"/>
      <c r="AR55" s="57"/>
      <c r="AS55" s="57"/>
      <c r="AT55" s="57"/>
      <c r="AU55" s="57"/>
      <c r="AV55" s="71"/>
      <c r="AW55" s="57"/>
      <c r="AX55" s="55"/>
      <c r="AY55" s="55"/>
      <c r="AZ55" s="55"/>
      <c r="BA55" s="55"/>
      <c r="BB55" s="55"/>
      <c r="BC55" s="55"/>
      <c r="BD55" s="57"/>
    </row>
    <row r="56" spans="1:56">
      <c r="A56" s="12" t="str">
        <f>Roster!A56</f>
        <v/>
      </c>
      <c r="B56" s="28">
        <f>Roster!C56</f>
        <v>0</v>
      </c>
      <c r="C56" s="55"/>
      <c r="D56" s="56"/>
      <c r="E56" s="57"/>
      <c r="F56" s="57"/>
      <c r="G56" s="57"/>
      <c r="H56" s="57"/>
      <c r="I56" s="57"/>
      <c r="J56" s="57"/>
      <c r="K56" s="45"/>
      <c r="L56" s="58"/>
      <c r="M56" s="56"/>
      <c r="N56" s="57"/>
      <c r="O56" s="57"/>
      <c r="P56" s="57"/>
      <c r="Q56" s="57"/>
      <c r="R56" s="57"/>
      <c r="S56" s="57"/>
      <c r="T56" s="45"/>
      <c r="U56" s="71"/>
      <c r="V56" s="57"/>
      <c r="W56" s="57"/>
      <c r="X56" s="57"/>
      <c r="Y56" s="57"/>
      <c r="Z56" s="57"/>
      <c r="AA56" s="57"/>
      <c r="AB56" s="57"/>
      <c r="AC56" s="57"/>
      <c r="AD56" s="71"/>
      <c r="AE56" s="57"/>
      <c r="AF56" s="57"/>
      <c r="AG56" s="57"/>
      <c r="AH56" s="57"/>
      <c r="AI56" s="57"/>
      <c r="AJ56" s="57"/>
      <c r="AK56" s="57"/>
      <c r="AL56" s="57"/>
      <c r="AM56" s="71"/>
      <c r="AN56" s="57"/>
      <c r="AO56" s="57"/>
      <c r="AP56" s="57"/>
      <c r="AQ56" s="57"/>
      <c r="AR56" s="57"/>
      <c r="AS56" s="57"/>
      <c r="AT56" s="57"/>
      <c r="AU56" s="57"/>
      <c r="AV56" s="71"/>
      <c r="AW56" s="57"/>
      <c r="AX56" s="55"/>
      <c r="AY56" s="55"/>
      <c r="AZ56" s="55"/>
      <c r="BA56" s="55"/>
      <c r="BB56" s="55"/>
      <c r="BC56" s="55"/>
      <c r="BD56" s="57"/>
    </row>
    <row r="57" spans="1:56">
      <c r="A57" s="12" t="str">
        <f>Roster!A57</f>
        <v/>
      </c>
      <c r="B57" s="28">
        <f>Roster!C57</f>
        <v>0</v>
      </c>
      <c r="C57" s="55"/>
      <c r="D57" s="56"/>
      <c r="E57" s="57"/>
      <c r="F57" s="57"/>
      <c r="G57" s="57"/>
      <c r="H57" s="57"/>
      <c r="I57" s="57"/>
      <c r="J57" s="57"/>
      <c r="K57" s="45"/>
      <c r="L57" s="58"/>
      <c r="M57" s="56"/>
      <c r="N57" s="57"/>
      <c r="O57" s="57"/>
      <c r="P57" s="57"/>
      <c r="Q57" s="57"/>
      <c r="R57" s="57"/>
      <c r="S57" s="57"/>
      <c r="T57" s="45"/>
      <c r="U57" s="71"/>
      <c r="V57" s="57"/>
      <c r="W57" s="57"/>
      <c r="X57" s="57"/>
      <c r="Y57" s="57"/>
      <c r="Z57" s="57"/>
      <c r="AA57" s="57"/>
      <c r="AB57" s="57"/>
      <c r="AC57" s="57"/>
      <c r="AD57" s="71"/>
      <c r="AE57" s="57"/>
      <c r="AF57" s="57"/>
      <c r="AG57" s="57"/>
      <c r="AH57" s="57"/>
      <c r="AI57" s="57"/>
      <c r="AJ57" s="57"/>
      <c r="AK57" s="57"/>
      <c r="AL57" s="57"/>
      <c r="AM57" s="71"/>
      <c r="AN57" s="57"/>
      <c r="AO57" s="57"/>
      <c r="AP57" s="57"/>
      <c r="AQ57" s="57"/>
      <c r="AR57" s="57"/>
      <c r="AS57" s="57"/>
      <c r="AT57" s="57"/>
      <c r="AU57" s="57"/>
      <c r="AV57" s="71"/>
      <c r="AW57" s="57"/>
      <c r="AX57" s="55"/>
      <c r="AY57" s="55"/>
      <c r="AZ57" s="55"/>
      <c r="BA57" s="55"/>
      <c r="BB57" s="55"/>
      <c r="BC57" s="55"/>
      <c r="BD57" s="57"/>
    </row>
    <row r="58" spans="1:56">
      <c r="A58" s="12" t="str">
        <f>Roster!A58</f>
        <v/>
      </c>
      <c r="B58" s="28">
        <f>Roster!C58</f>
        <v>0</v>
      </c>
      <c r="C58" s="55"/>
      <c r="D58" s="56"/>
      <c r="E58" s="57"/>
      <c r="F58" s="57"/>
      <c r="G58" s="57"/>
      <c r="H58" s="57"/>
      <c r="I58" s="57"/>
      <c r="J58" s="57"/>
      <c r="K58" s="45"/>
      <c r="L58" s="58"/>
      <c r="M58" s="56"/>
      <c r="N58" s="57"/>
      <c r="O58" s="57"/>
      <c r="P58" s="57"/>
      <c r="Q58" s="57"/>
      <c r="R58" s="57"/>
      <c r="S58" s="57"/>
      <c r="T58" s="45"/>
      <c r="U58" s="71"/>
      <c r="V58" s="57"/>
      <c r="W58" s="57"/>
      <c r="X58" s="57"/>
      <c r="Y58" s="57"/>
      <c r="Z58" s="57"/>
      <c r="AA58" s="57"/>
      <c r="AB58" s="57"/>
      <c r="AC58" s="57"/>
      <c r="AD58" s="71"/>
      <c r="AE58" s="57"/>
      <c r="AF58" s="57"/>
      <c r="AG58" s="57"/>
      <c r="AH58" s="57"/>
      <c r="AI58" s="57"/>
      <c r="AJ58" s="57"/>
      <c r="AK58" s="57"/>
      <c r="AL58" s="57"/>
      <c r="AM58" s="71"/>
      <c r="AN58" s="57"/>
      <c r="AO58" s="57"/>
      <c r="AP58" s="57"/>
      <c r="AQ58" s="57"/>
      <c r="AR58" s="57"/>
      <c r="AS58" s="57"/>
      <c r="AT58" s="57"/>
      <c r="AU58" s="57"/>
      <c r="AV58" s="71"/>
      <c r="AW58" s="57"/>
      <c r="AX58" s="55"/>
      <c r="AY58" s="55"/>
      <c r="AZ58" s="55"/>
      <c r="BA58" s="55"/>
      <c r="BB58" s="55"/>
      <c r="BC58" s="55"/>
      <c r="BD58" s="57"/>
    </row>
    <row r="59" spans="1:56">
      <c r="A59" s="12" t="str">
        <f>Roster!A59</f>
        <v/>
      </c>
      <c r="B59" s="28">
        <f>Roster!C59</f>
        <v>0</v>
      </c>
      <c r="C59" s="55"/>
      <c r="D59" s="56"/>
      <c r="E59" s="57"/>
      <c r="F59" s="57"/>
      <c r="G59" s="57"/>
      <c r="H59" s="57"/>
      <c r="I59" s="57"/>
      <c r="J59" s="57"/>
      <c r="K59" s="45"/>
      <c r="L59" s="58"/>
      <c r="M59" s="56"/>
      <c r="N59" s="57"/>
      <c r="O59" s="57"/>
      <c r="P59" s="57"/>
      <c r="Q59" s="57"/>
      <c r="R59" s="57"/>
      <c r="S59" s="57"/>
      <c r="T59" s="45"/>
      <c r="U59" s="71"/>
      <c r="V59" s="57"/>
      <c r="W59" s="57"/>
      <c r="X59" s="57"/>
      <c r="Y59" s="57"/>
      <c r="Z59" s="57"/>
      <c r="AA59" s="57"/>
      <c r="AB59" s="57"/>
      <c r="AC59" s="57"/>
      <c r="AD59" s="71"/>
      <c r="AE59" s="57"/>
      <c r="AF59" s="57"/>
      <c r="AG59" s="57"/>
      <c r="AH59" s="57"/>
      <c r="AI59" s="57"/>
      <c r="AJ59" s="57"/>
      <c r="AK59" s="57"/>
      <c r="AL59" s="57"/>
      <c r="AM59" s="71"/>
      <c r="AN59" s="57"/>
      <c r="AO59" s="57"/>
      <c r="AP59" s="57"/>
      <c r="AQ59" s="57"/>
      <c r="AR59" s="57"/>
      <c r="AS59" s="57"/>
      <c r="AT59" s="57"/>
      <c r="AU59" s="57"/>
      <c r="AV59" s="71"/>
      <c r="AW59" s="57"/>
      <c r="AX59" s="55"/>
      <c r="AY59" s="55"/>
      <c r="AZ59" s="55"/>
      <c r="BA59" s="55"/>
      <c r="BB59" s="55"/>
      <c r="BC59" s="55"/>
      <c r="BD59" s="57"/>
    </row>
    <row r="60" spans="1:56">
      <c r="A60" s="12" t="str">
        <f>Roster!A60</f>
        <v/>
      </c>
      <c r="B60" s="28">
        <f>Roster!C60</f>
        <v>0</v>
      </c>
      <c r="C60" s="55"/>
      <c r="D60" s="56"/>
      <c r="E60" s="57"/>
      <c r="F60" s="57"/>
      <c r="G60" s="57"/>
      <c r="H60" s="57"/>
      <c r="I60" s="57"/>
      <c r="J60" s="57"/>
      <c r="K60" s="45"/>
      <c r="L60" s="58"/>
      <c r="M60" s="56"/>
      <c r="N60" s="57"/>
      <c r="O60" s="57"/>
      <c r="P60" s="57"/>
      <c r="Q60" s="57"/>
      <c r="R60" s="57"/>
      <c r="S60" s="57"/>
      <c r="T60" s="45"/>
      <c r="U60" s="71"/>
      <c r="V60" s="57"/>
      <c r="W60" s="57"/>
      <c r="X60" s="57"/>
      <c r="Y60" s="57"/>
      <c r="Z60" s="57"/>
      <c r="AA60" s="57"/>
      <c r="AB60" s="57"/>
      <c r="AC60" s="57"/>
      <c r="AD60" s="71"/>
      <c r="AE60" s="57"/>
      <c r="AF60" s="57"/>
      <c r="AG60" s="57"/>
      <c r="AH60" s="57"/>
      <c r="AI60" s="57"/>
      <c r="AJ60" s="57"/>
      <c r="AK60" s="57"/>
      <c r="AL60" s="57"/>
      <c r="AM60" s="71"/>
      <c r="AN60" s="57"/>
      <c r="AO60" s="57"/>
      <c r="AP60" s="57"/>
      <c r="AQ60" s="57"/>
      <c r="AR60" s="57"/>
      <c r="AS60" s="57"/>
      <c r="AT60" s="57"/>
      <c r="AU60" s="57"/>
      <c r="AV60" s="71"/>
      <c r="AW60" s="57"/>
      <c r="AX60" s="55"/>
      <c r="AY60" s="55"/>
      <c r="AZ60" s="55"/>
      <c r="BA60" s="55"/>
      <c r="BB60" s="55"/>
      <c r="BC60" s="55"/>
      <c r="BD60" s="57"/>
    </row>
    <row r="61" spans="1:56">
      <c r="A61" s="12" t="str">
        <f>Roster!A61</f>
        <v/>
      </c>
      <c r="B61" s="28">
        <f>Roster!C61</f>
        <v>0</v>
      </c>
      <c r="C61" s="55"/>
      <c r="D61" s="56"/>
      <c r="E61" s="57"/>
      <c r="F61" s="57"/>
      <c r="G61" s="57"/>
      <c r="H61" s="57"/>
      <c r="I61" s="57"/>
      <c r="J61" s="57"/>
      <c r="K61" s="45"/>
      <c r="L61" s="58"/>
      <c r="M61" s="56"/>
      <c r="N61" s="57"/>
      <c r="O61" s="57"/>
      <c r="P61" s="57"/>
      <c r="Q61" s="57"/>
      <c r="R61" s="57"/>
      <c r="S61" s="57"/>
      <c r="T61" s="45"/>
      <c r="U61" s="71"/>
      <c r="V61" s="57"/>
      <c r="W61" s="57"/>
      <c r="X61" s="57"/>
      <c r="Y61" s="57"/>
      <c r="Z61" s="57"/>
      <c r="AA61" s="57"/>
      <c r="AB61" s="57"/>
      <c r="AC61" s="57"/>
      <c r="AD61" s="71"/>
      <c r="AE61" s="57"/>
      <c r="AF61" s="57"/>
      <c r="AG61" s="57"/>
      <c r="AH61" s="57"/>
      <c r="AI61" s="57"/>
      <c r="AJ61" s="57"/>
      <c r="AK61" s="57"/>
      <c r="AL61" s="57"/>
      <c r="AM61" s="71"/>
      <c r="AN61" s="57"/>
      <c r="AO61" s="57"/>
      <c r="AP61" s="57"/>
      <c r="AQ61" s="57"/>
      <c r="AR61" s="57"/>
      <c r="AS61" s="57"/>
      <c r="AT61" s="57"/>
      <c r="AU61" s="57"/>
      <c r="AV61" s="71"/>
      <c r="AW61" s="57"/>
      <c r="AX61" s="55"/>
      <c r="AY61" s="55"/>
      <c r="AZ61" s="55"/>
      <c r="BA61" s="55"/>
      <c r="BB61" s="55"/>
      <c r="BC61" s="55"/>
      <c r="BD61" s="57"/>
    </row>
    <row r="62" spans="1:56">
      <c r="A62" s="12" t="str">
        <f>Roster!A62</f>
        <v/>
      </c>
      <c r="B62" s="28">
        <f>Roster!C62</f>
        <v>0</v>
      </c>
      <c r="C62" s="55"/>
      <c r="D62" s="56"/>
      <c r="E62" s="57"/>
      <c r="F62" s="57"/>
      <c r="G62" s="57"/>
      <c r="H62" s="57"/>
      <c r="I62" s="57"/>
      <c r="J62" s="57"/>
      <c r="K62" s="45"/>
      <c r="L62" s="58"/>
      <c r="M62" s="56"/>
      <c r="N62" s="57"/>
      <c r="O62" s="57"/>
      <c r="P62" s="57"/>
      <c r="Q62" s="57"/>
      <c r="R62" s="57"/>
      <c r="S62" s="57"/>
      <c r="T62" s="45"/>
      <c r="U62" s="71"/>
      <c r="V62" s="57"/>
      <c r="W62" s="57"/>
      <c r="X62" s="57"/>
      <c r="Y62" s="57"/>
      <c r="Z62" s="57"/>
      <c r="AA62" s="57"/>
      <c r="AB62" s="57"/>
      <c r="AC62" s="57"/>
      <c r="AD62" s="71"/>
      <c r="AE62" s="57"/>
      <c r="AF62" s="57"/>
      <c r="AG62" s="57"/>
      <c r="AH62" s="57"/>
      <c r="AI62" s="57"/>
      <c r="AJ62" s="57"/>
      <c r="AK62" s="57"/>
      <c r="AL62" s="57"/>
      <c r="AM62" s="71"/>
      <c r="AN62" s="57"/>
      <c r="AO62" s="57"/>
      <c r="AP62" s="57"/>
      <c r="AQ62" s="57"/>
      <c r="AR62" s="57"/>
      <c r="AS62" s="57"/>
      <c r="AT62" s="57"/>
      <c r="AU62" s="57"/>
      <c r="AV62" s="71"/>
      <c r="AW62" s="57"/>
      <c r="AX62" s="55"/>
      <c r="AY62" s="55"/>
      <c r="AZ62" s="55"/>
      <c r="BA62" s="55"/>
      <c r="BB62" s="55"/>
      <c r="BC62" s="55"/>
      <c r="BD62" s="57"/>
    </row>
    <row r="63" spans="1:56">
      <c r="A63" s="12" t="str">
        <f>Roster!A63</f>
        <v/>
      </c>
      <c r="B63" s="28">
        <f>Roster!C63</f>
        <v>0</v>
      </c>
      <c r="C63" s="55"/>
      <c r="D63" s="56"/>
      <c r="E63" s="57"/>
      <c r="F63" s="57"/>
      <c r="G63" s="57"/>
      <c r="H63" s="57"/>
      <c r="I63" s="57"/>
      <c r="J63" s="57"/>
      <c r="K63" s="45"/>
      <c r="L63" s="58"/>
      <c r="M63" s="56"/>
      <c r="N63" s="57"/>
      <c r="O63" s="57"/>
      <c r="P63" s="57"/>
      <c r="Q63" s="57"/>
      <c r="R63" s="57"/>
      <c r="S63" s="57"/>
      <c r="T63" s="45"/>
      <c r="U63" s="71"/>
      <c r="V63" s="57"/>
      <c r="W63" s="57"/>
      <c r="X63" s="57"/>
      <c r="Y63" s="57"/>
      <c r="Z63" s="57"/>
      <c r="AA63" s="57"/>
      <c r="AB63" s="57"/>
      <c r="AC63" s="57"/>
      <c r="AD63" s="71"/>
      <c r="AE63" s="57"/>
      <c r="AF63" s="57"/>
      <c r="AG63" s="57"/>
      <c r="AH63" s="57"/>
      <c r="AI63" s="57"/>
      <c r="AJ63" s="57"/>
      <c r="AK63" s="57"/>
      <c r="AL63" s="57"/>
      <c r="AM63" s="71"/>
      <c r="AN63" s="57"/>
      <c r="AO63" s="57"/>
      <c r="AP63" s="57"/>
      <c r="AQ63" s="57"/>
      <c r="AR63" s="57"/>
      <c r="AS63" s="57"/>
      <c r="AT63" s="57"/>
      <c r="AU63" s="57"/>
      <c r="AV63" s="71"/>
      <c r="AW63" s="57"/>
      <c r="AX63" s="55"/>
      <c r="AY63" s="55"/>
      <c r="AZ63" s="55"/>
      <c r="BA63" s="55"/>
      <c r="BB63" s="55"/>
      <c r="BC63" s="55"/>
      <c r="BD63" s="57"/>
    </row>
    <row r="64" spans="1:56">
      <c r="A64" s="12" t="str">
        <f>Roster!A64</f>
        <v/>
      </c>
      <c r="B64" s="28">
        <f>Roster!C64</f>
        <v>0</v>
      </c>
      <c r="C64" s="55"/>
      <c r="D64" s="56"/>
      <c r="E64" s="57"/>
      <c r="F64" s="57"/>
      <c r="G64" s="57"/>
      <c r="H64" s="57"/>
      <c r="I64" s="57"/>
      <c r="J64" s="57"/>
      <c r="K64" s="45"/>
      <c r="L64" s="58"/>
      <c r="M64" s="56"/>
      <c r="N64" s="57"/>
      <c r="O64" s="57"/>
      <c r="P64" s="57"/>
      <c r="Q64" s="57"/>
      <c r="R64" s="57"/>
      <c r="S64" s="57"/>
      <c r="T64" s="45"/>
      <c r="U64" s="71"/>
      <c r="V64" s="57"/>
      <c r="W64" s="57"/>
      <c r="X64" s="57"/>
      <c r="Y64" s="57"/>
      <c r="Z64" s="57"/>
      <c r="AA64" s="57"/>
      <c r="AB64" s="57"/>
      <c r="AC64" s="57"/>
      <c r="AD64" s="71"/>
      <c r="AE64" s="57"/>
      <c r="AF64" s="57"/>
      <c r="AG64" s="57"/>
      <c r="AH64" s="57"/>
      <c r="AI64" s="57"/>
      <c r="AJ64" s="57"/>
      <c r="AK64" s="57"/>
      <c r="AL64" s="57"/>
      <c r="AM64" s="71"/>
      <c r="AN64" s="57"/>
      <c r="AO64" s="57"/>
      <c r="AP64" s="57"/>
      <c r="AQ64" s="57"/>
      <c r="AR64" s="57"/>
      <c r="AS64" s="57"/>
      <c r="AT64" s="57"/>
      <c r="AU64" s="57"/>
      <c r="AV64" s="71"/>
      <c r="AW64" s="57"/>
      <c r="AX64" s="55"/>
      <c r="AY64" s="55"/>
      <c r="AZ64" s="55"/>
      <c r="BA64" s="55"/>
      <c r="BB64" s="55"/>
      <c r="BC64" s="55"/>
      <c r="BD64" s="57"/>
    </row>
    <row r="65" spans="1:56">
      <c r="A65" s="12" t="str">
        <f>Roster!A65</f>
        <v/>
      </c>
      <c r="B65" s="28">
        <f>Roster!C65</f>
        <v>0</v>
      </c>
      <c r="C65" s="55"/>
      <c r="D65" s="56"/>
      <c r="E65" s="57"/>
      <c r="F65" s="57"/>
      <c r="G65" s="57"/>
      <c r="H65" s="57"/>
      <c r="I65" s="57"/>
      <c r="J65" s="57"/>
      <c r="K65" s="45"/>
      <c r="L65" s="58"/>
      <c r="M65" s="56"/>
      <c r="N65" s="57"/>
      <c r="O65" s="57"/>
      <c r="P65" s="57"/>
      <c r="Q65" s="57"/>
      <c r="R65" s="57"/>
      <c r="S65" s="57"/>
      <c r="T65" s="45"/>
      <c r="U65" s="71"/>
      <c r="V65" s="57"/>
      <c r="W65" s="57"/>
      <c r="X65" s="57"/>
      <c r="Y65" s="57"/>
      <c r="Z65" s="57"/>
      <c r="AA65" s="57"/>
      <c r="AB65" s="57"/>
      <c r="AC65" s="57"/>
      <c r="AD65" s="71"/>
      <c r="AE65" s="57"/>
      <c r="AF65" s="57"/>
      <c r="AG65" s="57"/>
      <c r="AH65" s="57"/>
      <c r="AI65" s="57"/>
      <c r="AJ65" s="57"/>
      <c r="AK65" s="57"/>
      <c r="AL65" s="57"/>
      <c r="AM65" s="71"/>
      <c r="AN65" s="57"/>
      <c r="AO65" s="57"/>
      <c r="AP65" s="57"/>
      <c r="AQ65" s="57"/>
      <c r="AR65" s="57"/>
      <c r="AS65" s="57"/>
      <c r="AT65" s="57"/>
      <c r="AU65" s="57"/>
      <c r="AV65" s="71"/>
      <c r="AW65" s="57"/>
      <c r="AX65" s="55"/>
      <c r="AY65" s="55"/>
      <c r="AZ65" s="55"/>
      <c r="BA65" s="55"/>
      <c r="BB65" s="55"/>
      <c r="BC65" s="55"/>
      <c r="BD65" s="57"/>
    </row>
    <row r="66" spans="1:56">
      <c r="A66" s="12" t="str">
        <f>Roster!A66</f>
        <v/>
      </c>
      <c r="B66" s="28">
        <f>Roster!C66</f>
        <v>0</v>
      </c>
      <c r="C66" s="55"/>
      <c r="D66" s="56"/>
      <c r="E66" s="57"/>
      <c r="F66" s="57"/>
      <c r="G66" s="57"/>
      <c r="H66" s="57"/>
      <c r="I66" s="57"/>
      <c r="J66" s="57"/>
      <c r="K66" s="45"/>
      <c r="L66" s="58"/>
      <c r="M66" s="56"/>
      <c r="N66" s="57"/>
      <c r="O66" s="57"/>
      <c r="P66" s="57"/>
      <c r="Q66" s="57"/>
      <c r="R66" s="57"/>
      <c r="S66" s="57"/>
      <c r="T66" s="45"/>
      <c r="U66" s="71"/>
      <c r="V66" s="57"/>
      <c r="W66" s="57"/>
      <c r="X66" s="57"/>
      <c r="Y66" s="57"/>
      <c r="Z66" s="57"/>
      <c r="AA66" s="57"/>
      <c r="AB66" s="57"/>
      <c r="AC66" s="57"/>
      <c r="AD66" s="71"/>
      <c r="AE66" s="57"/>
      <c r="AF66" s="57"/>
      <c r="AG66" s="57"/>
      <c r="AH66" s="57"/>
      <c r="AI66" s="57"/>
      <c r="AJ66" s="57"/>
      <c r="AK66" s="57"/>
      <c r="AL66" s="57"/>
      <c r="AM66" s="71"/>
      <c r="AN66" s="57"/>
      <c r="AO66" s="57"/>
      <c r="AP66" s="57"/>
      <c r="AQ66" s="57"/>
      <c r="AR66" s="57"/>
      <c r="AS66" s="57"/>
      <c r="AT66" s="57"/>
      <c r="AU66" s="57"/>
      <c r="AV66" s="71"/>
      <c r="AW66" s="57"/>
      <c r="AX66" s="55"/>
      <c r="AY66" s="55"/>
      <c r="AZ66" s="55"/>
      <c r="BA66" s="55"/>
      <c r="BB66" s="55"/>
      <c r="BC66" s="55"/>
      <c r="BD66" s="57"/>
    </row>
    <row r="67" spans="1:56">
      <c r="A67" s="12" t="str">
        <f>Roster!A67</f>
        <v/>
      </c>
      <c r="B67" s="28">
        <f>Roster!C67</f>
        <v>0</v>
      </c>
      <c r="C67" s="55"/>
      <c r="D67" s="56"/>
      <c r="E67" s="57"/>
      <c r="F67" s="57"/>
      <c r="G67" s="57"/>
      <c r="H67" s="57"/>
      <c r="I67" s="57"/>
      <c r="J67" s="57"/>
      <c r="K67" s="45"/>
      <c r="L67" s="58"/>
      <c r="M67" s="56"/>
      <c r="N67" s="57"/>
      <c r="O67" s="57"/>
      <c r="P67" s="57"/>
      <c r="Q67" s="57"/>
      <c r="R67" s="57"/>
      <c r="S67" s="57"/>
      <c r="T67" s="45"/>
      <c r="U67" s="71"/>
      <c r="V67" s="57"/>
      <c r="W67" s="57"/>
      <c r="X67" s="57"/>
      <c r="Y67" s="57"/>
      <c r="Z67" s="57"/>
      <c r="AA67" s="57"/>
      <c r="AB67" s="57"/>
      <c r="AC67" s="57"/>
      <c r="AD67" s="71"/>
      <c r="AE67" s="57"/>
      <c r="AF67" s="57"/>
      <c r="AG67" s="57"/>
      <c r="AH67" s="57"/>
      <c r="AI67" s="57"/>
      <c r="AJ67" s="57"/>
      <c r="AK67" s="57"/>
      <c r="AL67" s="57"/>
      <c r="AM67" s="71"/>
      <c r="AN67" s="57"/>
      <c r="AO67" s="57"/>
      <c r="AP67" s="57"/>
      <c r="AQ67" s="57"/>
      <c r="AR67" s="57"/>
      <c r="AS67" s="57"/>
      <c r="AT67" s="57"/>
      <c r="AU67" s="57"/>
      <c r="AV67" s="71"/>
      <c r="AW67" s="57"/>
      <c r="AX67" s="55"/>
      <c r="AY67" s="55"/>
      <c r="AZ67" s="55"/>
      <c r="BA67" s="55"/>
      <c r="BB67" s="55"/>
      <c r="BC67" s="55"/>
      <c r="BD67" s="57"/>
    </row>
    <row r="68" spans="1:56">
      <c r="A68" s="12" t="str">
        <f>Roster!A68</f>
        <v/>
      </c>
      <c r="B68" s="28">
        <f>Roster!C68</f>
        <v>0</v>
      </c>
      <c r="C68" s="55"/>
      <c r="D68" s="56"/>
      <c r="E68" s="57"/>
      <c r="F68" s="57"/>
      <c r="G68" s="57"/>
      <c r="H68" s="57"/>
      <c r="I68" s="57"/>
      <c r="J68" s="57"/>
      <c r="K68" s="45"/>
      <c r="L68" s="58"/>
      <c r="M68" s="56"/>
      <c r="N68" s="57"/>
      <c r="O68" s="57"/>
      <c r="P68" s="57"/>
      <c r="Q68" s="57"/>
      <c r="R68" s="57"/>
      <c r="S68" s="57"/>
      <c r="T68" s="45"/>
      <c r="U68" s="71"/>
      <c r="V68" s="57"/>
      <c r="W68" s="57"/>
      <c r="X68" s="57"/>
      <c r="Y68" s="57"/>
      <c r="Z68" s="57"/>
      <c r="AA68" s="57"/>
      <c r="AB68" s="57"/>
      <c r="AC68" s="57"/>
      <c r="AD68" s="71"/>
      <c r="AE68" s="57"/>
      <c r="AF68" s="57"/>
      <c r="AG68" s="57"/>
      <c r="AH68" s="57"/>
      <c r="AI68" s="57"/>
      <c r="AJ68" s="57"/>
      <c r="AK68" s="57"/>
      <c r="AL68" s="57"/>
      <c r="AM68" s="71"/>
      <c r="AN68" s="57"/>
      <c r="AO68" s="57"/>
      <c r="AP68" s="57"/>
      <c r="AQ68" s="57"/>
      <c r="AR68" s="57"/>
      <c r="AS68" s="57"/>
      <c r="AT68" s="57"/>
      <c r="AU68" s="57"/>
      <c r="AV68" s="71"/>
      <c r="AW68" s="57"/>
      <c r="AX68" s="55"/>
      <c r="AY68" s="55"/>
      <c r="AZ68" s="55"/>
      <c r="BA68" s="55"/>
      <c r="BB68" s="55"/>
      <c r="BC68" s="55"/>
      <c r="BD68" s="57"/>
    </row>
    <row r="69" spans="1:56">
      <c r="A69" s="12" t="str">
        <f>Roster!A69</f>
        <v/>
      </c>
      <c r="B69" s="28">
        <f>Roster!C69</f>
        <v>0</v>
      </c>
      <c r="C69" s="55"/>
      <c r="D69" s="56"/>
      <c r="E69" s="57"/>
      <c r="F69" s="57"/>
      <c r="G69" s="57"/>
      <c r="H69" s="57"/>
      <c r="I69" s="57"/>
      <c r="J69" s="57"/>
      <c r="K69" s="45"/>
      <c r="L69" s="58"/>
      <c r="M69" s="56"/>
      <c r="N69" s="57"/>
      <c r="O69" s="57"/>
      <c r="P69" s="57"/>
      <c r="Q69" s="57"/>
      <c r="R69" s="57"/>
      <c r="S69" s="57"/>
      <c r="T69" s="45"/>
      <c r="U69" s="71"/>
      <c r="V69" s="57"/>
      <c r="W69" s="57"/>
      <c r="X69" s="57"/>
      <c r="Y69" s="57"/>
      <c r="Z69" s="57"/>
      <c r="AA69" s="57"/>
      <c r="AB69" s="57"/>
      <c r="AC69" s="57"/>
      <c r="AD69" s="71"/>
      <c r="AE69" s="57"/>
      <c r="AF69" s="57"/>
      <c r="AG69" s="57"/>
      <c r="AH69" s="57"/>
      <c r="AI69" s="57"/>
      <c r="AJ69" s="57"/>
      <c r="AK69" s="57"/>
      <c r="AL69" s="57"/>
      <c r="AM69" s="71"/>
      <c r="AN69" s="57"/>
      <c r="AO69" s="57"/>
      <c r="AP69" s="57"/>
      <c r="AQ69" s="57"/>
      <c r="AR69" s="57"/>
      <c r="AS69" s="57"/>
      <c r="AT69" s="57"/>
      <c r="AU69" s="57"/>
      <c r="AV69" s="71"/>
      <c r="AW69" s="57"/>
      <c r="AX69" s="55"/>
      <c r="AY69" s="55"/>
      <c r="AZ69" s="55"/>
      <c r="BA69" s="55"/>
      <c r="BB69" s="55"/>
      <c r="BC69" s="55"/>
      <c r="BD69" s="57"/>
    </row>
    <row r="70" spans="1:56">
      <c r="A70" s="12" t="str">
        <f>Roster!A70</f>
        <v/>
      </c>
      <c r="B70" s="28">
        <f>Roster!C70</f>
        <v>0</v>
      </c>
      <c r="C70" s="55"/>
      <c r="D70" s="56"/>
      <c r="E70" s="57"/>
      <c r="F70" s="57"/>
      <c r="G70" s="57"/>
      <c r="H70" s="57"/>
      <c r="I70" s="57"/>
      <c r="J70" s="57"/>
      <c r="K70" s="45"/>
      <c r="L70" s="58"/>
      <c r="M70" s="56"/>
      <c r="N70" s="57"/>
      <c r="O70" s="57"/>
      <c r="P70" s="57"/>
      <c r="Q70" s="57"/>
      <c r="R70" s="57"/>
      <c r="S70" s="57"/>
      <c r="T70" s="45"/>
      <c r="U70" s="71"/>
      <c r="V70" s="57"/>
      <c r="W70" s="57"/>
      <c r="X70" s="57"/>
      <c r="Y70" s="57"/>
      <c r="Z70" s="57"/>
      <c r="AA70" s="57"/>
      <c r="AB70" s="57"/>
      <c r="AC70" s="57"/>
      <c r="AD70" s="71"/>
      <c r="AE70" s="57"/>
      <c r="AF70" s="57"/>
      <c r="AG70" s="57"/>
      <c r="AH70" s="57"/>
      <c r="AI70" s="57"/>
      <c r="AJ70" s="57"/>
      <c r="AK70" s="57"/>
      <c r="AL70" s="57"/>
      <c r="AM70" s="71"/>
      <c r="AN70" s="57"/>
      <c r="AO70" s="57"/>
      <c r="AP70" s="57"/>
      <c r="AQ70" s="57"/>
      <c r="AR70" s="57"/>
      <c r="AS70" s="57"/>
      <c r="AT70" s="57"/>
      <c r="AU70" s="57"/>
      <c r="AV70" s="71"/>
      <c r="AW70" s="57"/>
      <c r="AX70" s="55"/>
      <c r="AY70" s="55"/>
      <c r="AZ70" s="55"/>
      <c r="BA70" s="55"/>
      <c r="BB70" s="55"/>
      <c r="BC70" s="55"/>
      <c r="BD70" s="57"/>
    </row>
    <row r="71" spans="1:56">
      <c r="A71" s="12" t="str">
        <f>Roster!A71</f>
        <v/>
      </c>
      <c r="B71" s="28">
        <f>Roster!C71</f>
        <v>0</v>
      </c>
      <c r="C71" s="55"/>
      <c r="D71" s="56"/>
      <c r="E71" s="57"/>
      <c r="F71" s="57"/>
      <c r="G71" s="57"/>
      <c r="H71" s="57"/>
      <c r="I71" s="57"/>
      <c r="J71" s="57"/>
      <c r="K71" s="45"/>
      <c r="L71" s="58"/>
      <c r="M71" s="56"/>
      <c r="N71" s="57"/>
      <c r="O71" s="57"/>
      <c r="P71" s="57"/>
      <c r="Q71" s="57"/>
      <c r="R71" s="57"/>
      <c r="S71" s="57"/>
      <c r="T71" s="45"/>
      <c r="U71" s="71"/>
      <c r="V71" s="57"/>
      <c r="W71" s="57"/>
      <c r="X71" s="57"/>
      <c r="Y71" s="57"/>
      <c r="Z71" s="57"/>
      <c r="AA71" s="57"/>
      <c r="AB71" s="57"/>
      <c r="AC71" s="57"/>
      <c r="AD71" s="71"/>
      <c r="AE71" s="57"/>
      <c r="AF71" s="57"/>
      <c r="AG71" s="57"/>
      <c r="AH71" s="57"/>
      <c r="AI71" s="57"/>
      <c r="AJ71" s="57"/>
      <c r="AK71" s="57"/>
      <c r="AL71" s="57"/>
      <c r="AM71" s="71"/>
      <c r="AN71" s="57"/>
      <c r="AO71" s="57"/>
      <c r="AP71" s="57"/>
      <c r="AQ71" s="57"/>
      <c r="AR71" s="57"/>
      <c r="AS71" s="57"/>
      <c r="AT71" s="57"/>
      <c r="AU71" s="57"/>
      <c r="AV71" s="71"/>
      <c r="AW71" s="57"/>
      <c r="AX71" s="55"/>
      <c r="AY71" s="55"/>
      <c r="AZ71" s="55"/>
      <c r="BA71" s="55"/>
      <c r="BB71" s="55"/>
      <c r="BC71" s="55"/>
      <c r="BD71" s="57"/>
    </row>
    <row r="72" spans="1:56">
      <c r="A72" s="12" t="str">
        <f>Roster!A72</f>
        <v/>
      </c>
      <c r="B72" s="28">
        <f>Roster!C72</f>
        <v>0</v>
      </c>
      <c r="C72" s="55"/>
      <c r="D72" s="56"/>
      <c r="E72" s="57"/>
      <c r="F72" s="57"/>
      <c r="G72" s="57"/>
      <c r="H72" s="57"/>
      <c r="I72" s="57"/>
      <c r="J72" s="57"/>
      <c r="K72" s="45"/>
      <c r="L72" s="58"/>
      <c r="M72" s="56"/>
      <c r="N72" s="57"/>
      <c r="O72" s="57"/>
      <c r="P72" s="57"/>
      <c r="Q72" s="57"/>
      <c r="R72" s="57"/>
      <c r="S72" s="57"/>
      <c r="T72" s="45"/>
      <c r="U72" s="71"/>
      <c r="V72" s="57"/>
      <c r="W72" s="57"/>
      <c r="X72" s="57"/>
      <c r="Y72" s="57"/>
      <c r="Z72" s="57"/>
      <c r="AA72" s="57"/>
      <c r="AB72" s="57"/>
      <c r="AC72" s="57"/>
      <c r="AD72" s="71"/>
      <c r="AE72" s="57"/>
      <c r="AF72" s="57"/>
      <c r="AG72" s="57"/>
      <c r="AH72" s="57"/>
      <c r="AI72" s="57"/>
      <c r="AJ72" s="57"/>
      <c r="AK72" s="57"/>
      <c r="AL72" s="57"/>
      <c r="AM72" s="71"/>
      <c r="AN72" s="57"/>
      <c r="AO72" s="57"/>
      <c r="AP72" s="57"/>
      <c r="AQ72" s="57"/>
      <c r="AR72" s="57"/>
      <c r="AS72" s="57"/>
      <c r="AT72" s="57"/>
      <c r="AU72" s="57"/>
      <c r="AV72" s="71"/>
      <c r="AW72" s="57"/>
      <c r="AX72" s="55"/>
      <c r="AY72" s="55"/>
      <c r="AZ72" s="55"/>
      <c r="BA72" s="55"/>
      <c r="BB72" s="55"/>
      <c r="BC72" s="55"/>
      <c r="BD72" s="57"/>
    </row>
    <row r="73" spans="1:56">
      <c r="A73" s="12" t="str">
        <f>Roster!A73</f>
        <v/>
      </c>
      <c r="B73" s="28">
        <f>Roster!C73</f>
        <v>0</v>
      </c>
      <c r="C73" s="55"/>
      <c r="D73" s="56"/>
      <c r="E73" s="57"/>
      <c r="F73" s="57"/>
      <c r="G73" s="57"/>
      <c r="H73" s="57"/>
      <c r="I73" s="57"/>
      <c r="J73" s="57"/>
      <c r="K73" s="45"/>
      <c r="L73" s="58"/>
      <c r="M73" s="56"/>
      <c r="N73" s="57"/>
      <c r="O73" s="57"/>
      <c r="P73" s="57"/>
      <c r="Q73" s="57"/>
      <c r="R73" s="57"/>
      <c r="S73" s="57"/>
      <c r="T73" s="45"/>
      <c r="U73" s="71"/>
      <c r="V73" s="57"/>
      <c r="W73" s="57"/>
      <c r="X73" s="57"/>
      <c r="Y73" s="57"/>
      <c r="Z73" s="57"/>
      <c r="AA73" s="57"/>
      <c r="AB73" s="57"/>
      <c r="AC73" s="57"/>
      <c r="AD73" s="71"/>
      <c r="AE73" s="57"/>
      <c r="AF73" s="57"/>
      <c r="AG73" s="57"/>
      <c r="AH73" s="57"/>
      <c r="AI73" s="57"/>
      <c r="AJ73" s="57"/>
      <c r="AK73" s="57"/>
      <c r="AL73" s="57"/>
      <c r="AM73" s="71"/>
      <c r="AN73" s="57"/>
      <c r="AO73" s="57"/>
      <c r="AP73" s="57"/>
      <c r="AQ73" s="57"/>
      <c r="AR73" s="57"/>
      <c r="AS73" s="57"/>
      <c r="AT73" s="57"/>
      <c r="AU73" s="57"/>
      <c r="AV73" s="71"/>
      <c r="AW73" s="57"/>
      <c r="AX73" s="55"/>
      <c r="AY73" s="55"/>
      <c r="AZ73" s="55"/>
      <c r="BA73" s="55"/>
      <c r="BB73" s="55"/>
      <c r="BC73" s="55"/>
      <c r="BD73" s="57"/>
    </row>
    <row r="74" spans="1:56">
      <c r="A74" s="12" t="str">
        <f>Roster!A74</f>
        <v/>
      </c>
      <c r="B74" s="28">
        <f>Roster!C74</f>
        <v>0</v>
      </c>
      <c r="C74" s="55"/>
      <c r="D74" s="56"/>
      <c r="E74" s="57"/>
      <c r="F74" s="57"/>
      <c r="G74" s="57"/>
      <c r="H74" s="57"/>
      <c r="I74" s="57"/>
      <c r="J74" s="57"/>
      <c r="K74" s="45"/>
      <c r="L74" s="58"/>
      <c r="M74" s="56"/>
      <c r="N74" s="57"/>
      <c r="O74" s="57"/>
      <c r="P74" s="57"/>
      <c r="Q74" s="57"/>
      <c r="R74" s="57"/>
      <c r="S74" s="57"/>
      <c r="T74" s="45"/>
      <c r="U74" s="71"/>
      <c r="V74" s="57"/>
      <c r="W74" s="57"/>
      <c r="X74" s="57"/>
      <c r="Y74" s="57"/>
      <c r="Z74" s="57"/>
      <c r="AA74" s="57"/>
      <c r="AB74" s="57"/>
      <c r="AC74" s="57"/>
      <c r="AD74" s="71"/>
      <c r="AE74" s="57"/>
      <c r="AF74" s="57"/>
      <c r="AG74" s="57"/>
      <c r="AH74" s="57"/>
      <c r="AI74" s="57"/>
      <c r="AJ74" s="57"/>
      <c r="AK74" s="57"/>
      <c r="AL74" s="57"/>
      <c r="AM74" s="71"/>
      <c r="AN74" s="57"/>
      <c r="AO74" s="57"/>
      <c r="AP74" s="57"/>
      <c r="AQ74" s="57"/>
      <c r="AR74" s="57"/>
      <c r="AS74" s="57"/>
      <c r="AT74" s="57"/>
      <c r="AU74" s="57"/>
      <c r="AV74" s="71"/>
      <c r="AW74" s="57"/>
      <c r="AX74" s="55"/>
      <c r="AY74" s="55"/>
      <c r="AZ74" s="55"/>
      <c r="BA74" s="55"/>
      <c r="BB74" s="55"/>
      <c r="BC74" s="55"/>
      <c r="BD74" s="57"/>
    </row>
    <row r="75" spans="1:56">
      <c r="A75" s="12" t="str">
        <f>Roster!A75</f>
        <v/>
      </c>
      <c r="B75" s="28">
        <f>Roster!C75</f>
        <v>0</v>
      </c>
      <c r="C75" s="55"/>
      <c r="D75" s="56"/>
      <c r="E75" s="57"/>
      <c r="F75" s="57"/>
      <c r="G75" s="57"/>
      <c r="H75" s="57"/>
      <c r="I75" s="57"/>
      <c r="J75" s="57"/>
      <c r="K75" s="45"/>
      <c r="L75" s="58"/>
      <c r="M75" s="56"/>
      <c r="N75" s="57"/>
      <c r="O75" s="57"/>
      <c r="P75" s="57"/>
      <c r="Q75" s="57"/>
      <c r="R75" s="57"/>
      <c r="S75" s="57"/>
      <c r="T75" s="45"/>
      <c r="U75" s="71"/>
      <c r="V75" s="57"/>
      <c r="W75" s="57"/>
      <c r="X75" s="57"/>
      <c r="Y75" s="57"/>
      <c r="Z75" s="57"/>
      <c r="AA75" s="57"/>
      <c r="AB75" s="57"/>
      <c r="AC75" s="57"/>
      <c r="AD75" s="71"/>
      <c r="AE75" s="57"/>
      <c r="AF75" s="57"/>
      <c r="AG75" s="57"/>
      <c r="AH75" s="57"/>
      <c r="AI75" s="57"/>
      <c r="AJ75" s="57"/>
      <c r="AK75" s="57"/>
      <c r="AL75" s="57"/>
      <c r="AM75" s="71"/>
      <c r="AN75" s="57"/>
      <c r="AO75" s="57"/>
      <c r="AP75" s="57"/>
      <c r="AQ75" s="57"/>
      <c r="AR75" s="57"/>
      <c r="AS75" s="57"/>
      <c r="AT75" s="57"/>
      <c r="AU75" s="57"/>
      <c r="AV75" s="71"/>
      <c r="AW75" s="57"/>
      <c r="AX75" s="55"/>
      <c r="AY75" s="55"/>
      <c r="AZ75" s="55"/>
      <c r="BA75" s="55"/>
      <c r="BB75" s="55"/>
      <c r="BC75" s="55"/>
      <c r="BD75" s="57"/>
    </row>
    <row r="76" spans="1:56">
      <c r="A76" s="12" t="str">
        <f>Roster!A76</f>
        <v/>
      </c>
      <c r="B76" s="28">
        <f>Roster!C76</f>
        <v>0</v>
      </c>
      <c r="C76" s="55"/>
      <c r="D76" s="56"/>
      <c r="E76" s="57"/>
      <c r="F76" s="57"/>
      <c r="G76" s="57"/>
      <c r="H76" s="57"/>
      <c r="I76" s="57"/>
      <c r="J76" s="57"/>
      <c r="K76" s="45"/>
      <c r="L76" s="58"/>
      <c r="M76" s="56"/>
      <c r="N76" s="57"/>
      <c r="O76" s="57"/>
      <c r="P76" s="57"/>
      <c r="Q76" s="57"/>
      <c r="R76" s="57"/>
      <c r="S76" s="57"/>
      <c r="T76" s="45"/>
      <c r="U76" s="71"/>
      <c r="V76" s="57"/>
      <c r="W76" s="57"/>
      <c r="X76" s="57"/>
      <c r="Y76" s="57"/>
      <c r="Z76" s="57"/>
      <c r="AA76" s="57"/>
      <c r="AB76" s="57"/>
      <c r="AC76" s="57"/>
      <c r="AD76" s="71"/>
      <c r="AE76" s="57"/>
      <c r="AF76" s="57"/>
      <c r="AG76" s="57"/>
      <c r="AH76" s="57"/>
      <c r="AI76" s="57"/>
      <c r="AJ76" s="57"/>
      <c r="AK76" s="57"/>
      <c r="AL76" s="57"/>
      <c r="AM76" s="71"/>
      <c r="AN76" s="57"/>
      <c r="AO76" s="57"/>
      <c r="AP76" s="57"/>
      <c r="AQ76" s="57"/>
      <c r="AR76" s="57"/>
      <c r="AS76" s="57"/>
      <c r="AT76" s="57"/>
      <c r="AU76" s="57"/>
      <c r="AV76" s="71"/>
      <c r="AW76" s="57"/>
      <c r="AX76" s="55"/>
      <c r="AY76" s="55"/>
      <c r="AZ76" s="55"/>
      <c r="BA76" s="55"/>
      <c r="BB76" s="55"/>
      <c r="BC76" s="55"/>
      <c r="BD76" s="57"/>
    </row>
    <row r="77" spans="1:56">
      <c r="A77" s="12" t="str">
        <f>Roster!A77</f>
        <v/>
      </c>
      <c r="B77" s="28">
        <f>Roster!C77</f>
        <v>0</v>
      </c>
      <c r="C77" s="55"/>
      <c r="D77" s="56"/>
      <c r="E77" s="57"/>
      <c r="F77" s="57"/>
      <c r="G77" s="57"/>
      <c r="H77" s="57"/>
      <c r="I77" s="57"/>
      <c r="J77" s="57"/>
      <c r="K77" s="45"/>
      <c r="L77" s="58"/>
      <c r="M77" s="56"/>
      <c r="N77" s="57"/>
      <c r="O77" s="57"/>
      <c r="P77" s="57"/>
      <c r="Q77" s="57"/>
      <c r="R77" s="57"/>
      <c r="S77" s="57"/>
      <c r="T77" s="45"/>
      <c r="U77" s="71"/>
      <c r="V77" s="57"/>
      <c r="W77" s="57"/>
      <c r="X77" s="57"/>
      <c r="Y77" s="57"/>
      <c r="Z77" s="57"/>
      <c r="AA77" s="57"/>
      <c r="AB77" s="57"/>
      <c r="AC77" s="57"/>
      <c r="AD77" s="71"/>
      <c r="AE77" s="57"/>
      <c r="AF77" s="57"/>
      <c r="AG77" s="57"/>
      <c r="AH77" s="57"/>
      <c r="AI77" s="57"/>
      <c r="AJ77" s="57"/>
      <c r="AK77" s="57"/>
      <c r="AL77" s="57"/>
      <c r="AM77" s="71"/>
      <c r="AN77" s="57"/>
      <c r="AO77" s="57"/>
      <c r="AP77" s="57"/>
      <c r="AQ77" s="57"/>
      <c r="AR77" s="57"/>
      <c r="AS77" s="57"/>
      <c r="AT77" s="57"/>
      <c r="AU77" s="57"/>
      <c r="AV77" s="71"/>
      <c r="AW77" s="57"/>
      <c r="AX77" s="55"/>
      <c r="AY77" s="55"/>
      <c r="AZ77" s="55"/>
      <c r="BA77" s="55"/>
      <c r="BB77" s="55"/>
      <c r="BC77" s="55"/>
      <c r="BD77" s="57"/>
    </row>
    <row r="78" spans="1:56">
      <c r="A78" s="12" t="str">
        <f>Roster!A78</f>
        <v/>
      </c>
      <c r="B78" s="28">
        <f>Roster!C78</f>
        <v>0</v>
      </c>
      <c r="C78" s="55"/>
      <c r="D78" s="56"/>
      <c r="E78" s="57"/>
      <c r="F78" s="57"/>
      <c r="G78" s="57"/>
      <c r="H78" s="57"/>
      <c r="I78" s="57"/>
      <c r="J78" s="57"/>
      <c r="K78" s="45"/>
      <c r="L78" s="58"/>
      <c r="M78" s="56"/>
      <c r="N78" s="57"/>
      <c r="O78" s="57"/>
      <c r="P78" s="57"/>
      <c r="Q78" s="57"/>
      <c r="R78" s="57"/>
      <c r="S78" s="57"/>
      <c r="T78" s="45"/>
      <c r="U78" s="71"/>
      <c r="V78" s="57"/>
      <c r="W78" s="57"/>
      <c r="X78" s="57"/>
      <c r="Y78" s="57"/>
      <c r="Z78" s="57"/>
      <c r="AA78" s="57"/>
      <c r="AB78" s="57"/>
      <c r="AC78" s="57"/>
      <c r="AD78" s="71"/>
      <c r="AE78" s="57"/>
      <c r="AF78" s="57"/>
      <c r="AG78" s="57"/>
      <c r="AH78" s="57"/>
      <c r="AI78" s="57"/>
      <c r="AJ78" s="57"/>
      <c r="AK78" s="57"/>
      <c r="AL78" s="57"/>
      <c r="AM78" s="71"/>
      <c r="AN78" s="57"/>
      <c r="AO78" s="57"/>
      <c r="AP78" s="57"/>
      <c r="AQ78" s="57"/>
      <c r="AR78" s="57"/>
      <c r="AS78" s="57"/>
      <c r="AT78" s="57"/>
      <c r="AU78" s="57"/>
      <c r="AV78" s="71"/>
      <c r="AW78" s="57"/>
      <c r="AX78" s="55"/>
      <c r="AY78" s="55"/>
      <c r="AZ78" s="55"/>
      <c r="BA78" s="55"/>
      <c r="BB78" s="55"/>
      <c r="BC78" s="55"/>
      <c r="BD78" s="57"/>
    </row>
    <row r="79" spans="1:56">
      <c r="A79" s="12" t="str">
        <f>Roster!A79</f>
        <v/>
      </c>
      <c r="B79" s="28">
        <f>Roster!C79</f>
        <v>0</v>
      </c>
      <c r="C79" s="55"/>
      <c r="D79" s="56"/>
      <c r="E79" s="57"/>
      <c r="F79" s="57"/>
      <c r="G79" s="57"/>
      <c r="H79" s="57"/>
      <c r="I79" s="57"/>
      <c r="J79" s="57"/>
      <c r="K79" s="45"/>
      <c r="L79" s="58"/>
      <c r="M79" s="56"/>
      <c r="N79" s="57"/>
      <c r="O79" s="57"/>
      <c r="P79" s="57"/>
      <c r="Q79" s="57"/>
      <c r="R79" s="57"/>
      <c r="S79" s="57"/>
      <c r="T79" s="45"/>
      <c r="U79" s="71"/>
      <c r="V79" s="57"/>
      <c r="W79" s="57"/>
      <c r="X79" s="57"/>
      <c r="Y79" s="57"/>
      <c r="Z79" s="57"/>
      <c r="AA79" s="57"/>
      <c r="AB79" s="57"/>
      <c r="AC79" s="57"/>
      <c r="AD79" s="71"/>
      <c r="AE79" s="57"/>
      <c r="AF79" s="57"/>
      <c r="AG79" s="57"/>
      <c r="AH79" s="57"/>
      <c r="AI79" s="57"/>
      <c r="AJ79" s="57"/>
      <c r="AK79" s="57"/>
      <c r="AL79" s="57"/>
      <c r="AM79" s="71"/>
      <c r="AN79" s="57"/>
      <c r="AO79" s="57"/>
      <c r="AP79" s="57"/>
      <c r="AQ79" s="57"/>
      <c r="AR79" s="57"/>
      <c r="AS79" s="57"/>
      <c r="AT79" s="57"/>
      <c r="AU79" s="57"/>
      <c r="AV79" s="71"/>
      <c r="AW79" s="57"/>
      <c r="AX79" s="55"/>
      <c r="AY79" s="55"/>
      <c r="AZ79" s="55"/>
      <c r="BA79" s="55"/>
      <c r="BB79" s="55"/>
      <c r="BC79" s="55"/>
      <c r="BD79" s="57"/>
    </row>
    <row r="80" spans="1:56">
      <c r="A80" s="12" t="str">
        <f>Roster!A80</f>
        <v/>
      </c>
      <c r="B80" s="28">
        <f>Roster!C80</f>
        <v>0</v>
      </c>
      <c r="C80" s="55"/>
      <c r="D80" s="56"/>
      <c r="E80" s="57"/>
      <c r="F80" s="57"/>
      <c r="G80" s="57"/>
      <c r="H80" s="57"/>
      <c r="I80" s="57"/>
      <c r="J80" s="57"/>
      <c r="K80" s="45"/>
      <c r="L80" s="58"/>
      <c r="M80" s="56"/>
      <c r="N80" s="57"/>
      <c r="O80" s="57"/>
      <c r="P80" s="57"/>
      <c r="Q80" s="57"/>
      <c r="R80" s="57"/>
      <c r="S80" s="57"/>
      <c r="T80" s="45"/>
      <c r="U80" s="71"/>
      <c r="V80" s="57"/>
      <c r="W80" s="57"/>
      <c r="X80" s="57"/>
      <c r="Y80" s="57"/>
      <c r="Z80" s="57"/>
      <c r="AA80" s="57"/>
      <c r="AB80" s="57"/>
      <c r="AC80" s="57"/>
      <c r="AD80" s="71"/>
      <c r="AE80" s="57"/>
      <c r="AF80" s="57"/>
      <c r="AG80" s="57"/>
      <c r="AH80" s="57"/>
      <c r="AI80" s="57"/>
      <c r="AJ80" s="57"/>
      <c r="AK80" s="57"/>
      <c r="AL80" s="57"/>
      <c r="AM80" s="71"/>
      <c r="AN80" s="57"/>
      <c r="AO80" s="57"/>
      <c r="AP80" s="57"/>
      <c r="AQ80" s="57"/>
      <c r="AR80" s="57"/>
      <c r="AS80" s="57"/>
      <c r="AT80" s="57"/>
      <c r="AU80" s="57"/>
      <c r="AV80" s="71"/>
      <c r="AW80" s="57"/>
      <c r="AX80" s="55"/>
      <c r="AY80" s="55"/>
      <c r="AZ80" s="55"/>
      <c r="BA80" s="55"/>
      <c r="BB80" s="55"/>
      <c r="BC80" s="55"/>
      <c r="BD80" s="57"/>
    </row>
    <row r="81" spans="1:56">
      <c r="A81" s="12" t="str">
        <f>Roster!A81</f>
        <v/>
      </c>
      <c r="B81" s="28">
        <f>Roster!C81</f>
        <v>0</v>
      </c>
      <c r="C81" s="55"/>
      <c r="D81" s="56"/>
      <c r="E81" s="57"/>
      <c r="F81" s="57"/>
      <c r="G81" s="57"/>
      <c r="H81" s="57"/>
      <c r="I81" s="57"/>
      <c r="J81" s="57"/>
      <c r="K81" s="45"/>
      <c r="L81" s="58"/>
      <c r="M81" s="56"/>
      <c r="N81" s="57"/>
      <c r="O81" s="57"/>
      <c r="P81" s="57"/>
      <c r="Q81" s="57"/>
      <c r="R81" s="57"/>
      <c r="S81" s="57"/>
      <c r="T81" s="45"/>
      <c r="U81" s="71"/>
      <c r="V81" s="57"/>
      <c r="W81" s="57"/>
      <c r="X81" s="57"/>
      <c r="Y81" s="57"/>
      <c r="Z81" s="57"/>
      <c r="AA81" s="57"/>
      <c r="AB81" s="57"/>
      <c r="AC81" s="57"/>
      <c r="AD81" s="71"/>
      <c r="AE81" s="57"/>
      <c r="AF81" s="57"/>
      <c r="AG81" s="57"/>
      <c r="AH81" s="57"/>
      <c r="AI81" s="57"/>
      <c r="AJ81" s="57"/>
      <c r="AK81" s="57"/>
      <c r="AL81" s="57"/>
      <c r="AM81" s="71"/>
      <c r="AN81" s="57"/>
      <c r="AO81" s="57"/>
      <c r="AP81" s="57"/>
      <c r="AQ81" s="57"/>
      <c r="AR81" s="57"/>
      <c r="AS81" s="57"/>
      <c r="AT81" s="57"/>
      <c r="AU81" s="57"/>
      <c r="AV81" s="71"/>
      <c r="AW81" s="57"/>
      <c r="AX81" s="55"/>
      <c r="AY81" s="55"/>
      <c r="AZ81" s="55"/>
      <c r="BA81" s="55"/>
      <c r="BB81" s="55"/>
      <c r="BC81" s="55"/>
      <c r="BD81" s="57"/>
    </row>
    <row r="82" spans="1:56">
      <c r="A82" s="12" t="str">
        <f>Roster!A82</f>
        <v/>
      </c>
      <c r="B82" s="28">
        <f>Roster!C82</f>
        <v>0</v>
      </c>
      <c r="C82" s="55"/>
      <c r="D82" s="56"/>
      <c r="E82" s="57"/>
      <c r="F82" s="57"/>
      <c r="G82" s="57"/>
      <c r="H82" s="57"/>
      <c r="I82" s="57"/>
      <c r="J82" s="57"/>
      <c r="K82" s="45"/>
      <c r="L82" s="58"/>
      <c r="M82" s="56"/>
      <c r="N82" s="57"/>
      <c r="O82" s="57"/>
      <c r="P82" s="57"/>
      <c r="Q82" s="57"/>
      <c r="R82" s="57"/>
      <c r="S82" s="57"/>
      <c r="T82" s="45"/>
      <c r="U82" s="71"/>
      <c r="V82" s="57"/>
      <c r="W82" s="57"/>
      <c r="X82" s="57"/>
      <c r="Y82" s="57"/>
      <c r="Z82" s="57"/>
      <c r="AA82" s="57"/>
      <c r="AB82" s="57"/>
      <c r="AC82" s="57"/>
      <c r="AD82" s="71"/>
      <c r="AE82" s="57"/>
      <c r="AF82" s="57"/>
      <c r="AG82" s="57"/>
      <c r="AH82" s="57"/>
      <c r="AI82" s="57"/>
      <c r="AJ82" s="57"/>
      <c r="AK82" s="57"/>
      <c r="AL82" s="57"/>
      <c r="AM82" s="71"/>
      <c r="AN82" s="57"/>
      <c r="AO82" s="57"/>
      <c r="AP82" s="57"/>
      <c r="AQ82" s="57"/>
      <c r="AR82" s="57"/>
      <c r="AS82" s="57"/>
      <c r="AT82" s="57"/>
      <c r="AU82" s="57"/>
      <c r="AV82" s="71"/>
      <c r="AW82" s="57"/>
      <c r="AX82" s="55"/>
      <c r="AY82" s="55"/>
      <c r="AZ82" s="55"/>
      <c r="BA82" s="55"/>
      <c r="BB82" s="55"/>
      <c r="BC82" s="55"/>
      <c r="BD82" s="57"/>
    </row>
    <row r="83" spans="1:56">
      <c r="A83" s="12" t="str">
        <f>Roster!A83</f>
        <v/>
      </c>
      <c r="B83" s="28">
        <f>Roster!C83</f>
        <v>0</v>
      </c>
      <c r="C83" s="55"/>
      <c r="D83" s="56"/>
      <c r="E83" s="57"/>
      <c r="F83" s="57"/>
      <c r="G83" s="57"/>
      <c r="H83" s="57"/>
      <c r="I83" s="57"/>
      <c r="J83" s="57"/>
      <c r="K83" s="45"/>
      <c r="L83" s="58"/>
      <c r="M83" s="56"/>
      <c r="N83" s="57"/>
      <c r="O83" s="57"/>
      <c r="P83" s="57"/>
      <c r="Q83" s="57"/>
      <c r="R83" s="57"/>
      <c r="S83" s="57"/>
      <c r="T83" s="45"/>
      <c r="U83" s="71"/>
      <c r="V83" s="57"/>
      <c r="W83" s="57"/>
      <c r="X83" s="57"/>
      <c r="Y83" s="57"/>
      <c r="Z83" s="57"/>
      <c r="AA83" s="57"/>
      <c r="AB83" s="57"/>
      <c r="AC83" s="57"/>
      <c r="AD83" s="71"/>
      <c r="AE83" s="57"/>
      <c r="AF83" s="57"/>
      <c r="AG83" s="57"/>
      <c r="AH83" s="57"/>
      <c r="AI83" s="57"/>
      <c r="AJ83" s="57"/>
      <c r="AK83" s="57"/>
      <c r="AL83" s="57"/>
      <c r="AM83" s="71"/>
      <c r="AN83" s="57"/>
      <c r="AO83" s="57"/>
      <c r="AP83" s="57"/>
      <c r="AQ83" s="57"/>
      <c r="AR83" s="57"/>
      <c r="AS83" s="57"/>
      <c r="AT83" s="57"/>
      <c r="AU83" s="57"/>
      <c r="AV83" s="71"/>
      <c r="AW83" s="57"/>
      <c r="AX83" s="55"/>
      <c r="AY83" s="55"/>
      <c r="AZ83" s="55"/>
      <c r="BA83" s="55"/>
      <c r="BB83" s="55"/>
      <c r="BC83" s="55"/>
      <c r="BD83" s="57"/>
    </row>
    <row r="84" spans="1:56">
      <c r="A84" s="12" t="str">
        <f>Roster!A84</f>
        <v/>
      </c>
      <c r="B84" s="28">
        <f>Roster!C84</f>
        <v>0</v>
      </c>
      <c r="C84" s="55"/>
      <c r="D84" s="56"/>
      <c r="E84" s="57"/>
      <c r="F84" s="57"/>
      <c r="G84" s="57"/>
      <c r="H84" s="57"/>
      <c r="I84" s="57"/>
      <c r="J84" s="57"/>
      <c r="K84" s="45"/>
      <c r="L84" s="58"/>
      <c r="M84" s="56"/>
      <c r="N84" s="57"/>
      <c r="O84" s="57"/>
      <c r="P84" s="57"/>
      <c r="Q84" s="57"/>
      <c r="R84" s="57"/>
      <c r="S84" s="57"/>
      <c r="T84" s="45"/>
      <c r="U84" s="71"/>
      <c r="V84" s="57"/>
      <c r="W84" s="57"/>
      <c r="X84" s="57"/>
      <c r="Y84" s="57"/>
      <c r="Z84" s="57"/>
      <c r="AA84" s="57"/>
      <c r="AB84" s="57"/>
      <c r="AC84" s="57"/>
      <c r="AD84" s="71"/>
      <c r="AE84" s="57"/>
      <c r="AF84" s="57"/>
      <c r="AG84" s="57"/>
      <c r="AH84" s="57"/>
      <c r="AI84" s="57"/>
      <c r="AJ84" s="57"/>
      <c r="AK84" s="57"/>
      <c r="AL84" s="57"/>
      <c r="AM84" s="71"/>
      <c r="AN84" s="57"/>
      <c r="AO84" s="57"/>
      <c r="AP84" s="57"/>
      <c r="AQ84" s="57"/>
      <c r="AR84" s="57"/>
      <c r="AS84" s="57"/>
      <c r="AT84" s="57"/>
      <c r="AU84" s="57"/>
      <c r="AV84" s="71"/>
      <c r="AW84" s="57"/>
      <c r="AX84" s="55"/>
      <c r="AY84" s="55"/>
      <c r="AZ84" s="55"/>
      <c r="BA84" s="55"/>
      <c r="BB84" s="55"/>
      <c r="BC84" s="55"/>
      <c r="BD84" s="57"/>
    </row>
    <row r="85" spans="1:56">
      <c r="A85" s="12" t="str">
        <f>Roster!A85</f>
        <v/>
      </c>
      <c r="B85" s="28">
        <f>Roster!C85</f>
        <v>0</v>
      </c>
      <c r="C85" s="55"/>
      <c r="D85" s="56"/>
      <c r="E85" s="57"/>
      <c r="F85" s="57"/>
      <c r="G85" s="57"/>
      <c r="H85" s="57"/>
      <c r="I85" s="57"/>
      <c r="J85" s="57"/>
      <c r="K85" s="45"/>
      <c r="L85" s="58"/>
      <c r="M85" s="56"/>
      <c r="N85" s="57"/>
      <c r="O85" s="57"/>
      <c r="P85" s="57"/>
      <c r="Q85" s="57"/>
      <c r="R85" s="57"/>
      <c r="S85" s="57"/>
      <c r="T85" s="45"/>
      <c r="U85" s="71"/>
      <c r="V85" s="57"/>
      <c r="W85" s="57"/>
      <c r="X85" s="57"/>
      <c r="Y85" s="57"/>
      <c r="Z85" s="57"/>
      <c r="AA85" s="57"/>
      <c r="AB85" s="57"/>
      <c r="AC85" s="57"/>
      <c r="AD85" s="71"/>
      <c r="AE85" s="57"/>
      <c r="AF85" s="57"/>
      <c r="AG85" s="57"/>
      <c r="AH85" s="57"/>
      <c r="AI85" s="57"/>
      <c r="AJ85" s="57"/>
      <c r="AK85" s="57"/>
      <c r="AL85" s="57"/>
      <c r="AM85" s="71"/>
      <c r="AN85" s="57"/>
      <c r="AO85" s="57"/>
      <c r="AP85" s="57"/>
      <c r="AQ85" s="57"/>
      <c r="AR85" s="57"/>
      <c r="AS85" s="57"/>
      <c r="AT85" s="57"/>
      <c r="AU85" s="57"/>
      <c r="AV85" s="71"/>
      <c r="AW85" s="57"/>
      <c r="AX85" s="55"/>
      <c r="AY85" s="55"/>
      <c r="AZ85" s="55"/>
      <c r="BA85" s="55"/>
      <c r="BB85" s="55"/>
      <c r="BC85" s="55"/>
      <c r="BD85" s="57"/>
    </row>
    <row r="86" spans="1:56">
      <c r="A86" s="12" t="str">
        <f>Roster!A86</f>
        <v/>
      </c>
      <c r="B86" s="28">
        <f>Roster!C86</f>
        <v>0</v>
      </c>
      <c r="C86" s="55"/>
      <c r="D86" s="56"/>
      <c r="E86" s="57"/>
      <c r="F86" s="57"/>
      <c r="G86" s="57"/>
      <c r="H86" s="57"/>
      <c r="I86" s="57"/>
      <c r="J86" s="57"/>
      <c r="K86" s="45"/>
      <c r="L86" s="58"/>
      <c r="M86" s="56"/>
      <c r="N86" s="57"/>
      <c r="O86" s="57"/>
      <c r="P86" s="57"/>
      <c r="Q86" s="57"/>
      <c r="R86" s="57"/>
      <c r="S86" s="57"/>
      <c r="T86" s="45"/>
      <c r="U86" s="71"/>
      <c r="V86" s="57"/>
      <c r="W86" s="57"/>
      <c r="X86" s="57"/>
      <c r="Y86" s="57"/>
      <c r="Z86" s="57"/>
      <c r="AA86" s="57"/>
      <c r="AB86" s="57"/>
      <c r="AC86" s="57"/>
      <c r="AD86" s="71"/>
      <c r="AE86" s="57"/>
      <c r="AF86" s="57"/>
      <c r="AG86" s="57"/>
      <c r="AH86" s="57"/>
      <c r="AI86" s="57"/>
      <c r="AJ86" s="57"/>
      <c r="AK86" s="57"/>
      <c r="AL86" s="57"/>
      <c r="AM86" s="71"/>
      <c r="AN86" s="57"/>
      <c r="AO86" s="57"/>
      <c r="AP86" s="57"/>
      <c r="AQ86" s="57"/>
      <c r="AR86" s="57"/>
      <c r="AS86" s="57"/>
      <c r="AT86" s="57"/>
      <c r="AU86" s="57"/>
      <c r="AV86" s="71"/>
      <c r="AW86" s="57"/>
      <c r="AX86" s="55"/>
      <c r="AY86" s="55"/>
      <c r="AZ86" s="55"/>
      <c r="BA86" s="55"/>
      <c r="BB86" s="55"/>
      <c r="BC86" s="55"/>
      <c r="BD86" s="57"/>
    </row>
    <row r="87" spans="1:56">
      <c r="A87" s="12" t="str">
        <f>Roster!A87</f>
        <v/>
      </c>
      <c r="B87" s="28">
        <f>Roster!C87</f>
        <v>0</v>
      </c>
      <c r="C87" s="55"/>
      <c r="D87" s="56"/>
      <c r="E87" s="57"/>
      <c r="F87" s="57"/>
      <c r="G87" s="57"/>
      <c r="H87" s="57"/>
      <c r="I87" s="57"/>
      <c r="J87" s="57"/>
      <c r="K87" s="45"/>
      <c r="L87" s="58"/>
      <c r="M87" s="56"/>
      <c r="N87" s="57"/>
      <c r="O87" s="57"/>
      <c r="P87" s="57"/>
      <c r="Q87" s="57"/>
      <c r="R87" s="57"/>
      <c r="S87" s="57"/>
      <c r="T87" s="45"/>
      <c r="U87" s="71"/>
      <c r="V87" s="57"/>
      <c r="W87" s="57"/>
      <c r="X87" s="57"/>
      <c r="Y87" s="57"/>
      <c r="Z87" s="57"/>
      <c r="AA87" s="57"/>
      <c r="AB87" s="57"/>
      <c r="AC87" s="57"/>
      <c r="AD87" s="71"/>
      <c r="AE87" s="57"/>
      <c r="AF87" s="57"/>
      <c r="AG87" s="57"/>
      <c r="AH87" s="57"/>
      <c r="AI87" s="57"/>
      <c r="AJ87" s="57"/>
      <c r="AK87" s="57"/>
      <c r="AL87" s="57"/>
      <c r="AM87" s="71"/>
      <c r="AN87" s="57"/>
      <c r="AO87" s="57"/>
      <c r="AP87" s="57"/>
      <c r="AQ87" s="57"/>
      <c r="AR87" s="57"/>
      <c r="AS87" s="57"/>
      <c r="AT87" s="57"/>
      <c r="AU87" s="57"/>
      <c r="AV87" s="71"/>
      <c r="AW87" s="57"/>
      <c r="AX87" s="55"/>
      <c r="AY87" s="55"/>
      <c r="AZ87" s="55"/>
      <c r="BA87" s="55"/>
      <c r="BB87" s="55"/>
      <c r="BC87" s="55"/>
      <c r="BD87" s="57"/>
    </row>
    <row r="88" spans="1:56">
      <c r="A88" s="12" t="str">
        <f>Roster!A88</f>
        <v/>
      </c>
      <c r="B88" s="28">
        <f>Roster!C88</f>
        <v>0</v>
      </c>
      <c r="C88" s="55"/>
      <c r="D88" s="56"/>
      <c r="E88" s="57"/>
      <c r="F88" s="57"/>
      <c r="G88" s="57"/>
      <c r="H88" s="57"/>
      <c r="I88" s="57"/>
      <c r="J88" s="57"/>
      <c r="K88" s="45"/>
      <c r="L88" s="58"/>
      <c r="M88" s="56"/>
      <c r="N88" s="57"/>
      <c r="O88" s="57"/>
      <c r="P88" s="57"/>
      <c r="Q88" s="57"/>
      <c r="R88" s="57"/>
      <c r="S88" s="57"/>
      <c r="T88" s="45"/>
      <c r="U88" s="71"/>
      <c r="V88" s="57"/>
      <c r="W88" s="57"/>
      <c r="X88" s="57"/>
      <c r="Y88" s="57"/>
      <c r="Z88" s="57"/>
      <c r="AA88" s="57"/>
      <c r="AB88" s="57"/>
      <c r="AC88" s="57"/>
      <c r="AD88" s="71"/>
      <c r="AE88" s="57"/>
      <c r="AF88" s="57"/>
      <c r="AG88" s="57"/>
      <c r="AH88" s="57"/>
      <c r="AI88" s="57"/>
      <c r="AJ88" s="57"/>
      <c r="AK88" s="57"/>
      <c r="AL88" s="57"/>
      <c r="AM88" s="71"/>
      <c r="AN88" s="57"/>
      <c r="AO88" s="57"/>
      <c r="AP88" s="57"/>
      <c r="AQ88" s="57"/>
      <c r="AR88" s="57"/>
      <c r="AS88" s="57"/>
      <c r="AT88" s="57"/>
      <c r="AU88" s="57"/>
      <c r="AV88" s="71"/>
      <c r="AW88" s="57"/>
      <c r="AX88" s="55"/>
      <c r="AY88" s="55"/>
      <c r="AZ88" s="55"/>
      <c r="BA88" s="55"/>
      <c r="BB88" s="55"/>
      <c r="BC88" s="55"/>
      <c r="BD88" s="57"/>
    </row>
    <row r="89" spans="1:56">
      <c r="A89" s="12" t="str">
        <f>Roster!A89</f>
        <v/>
      </c>
      <c r="B89" s="28">
        <f>Roster!C89</f>
        <v>0</v>
      </c>
      <c r="C89" s="55"/>
      <c r="D89" s="56"/>
      <c r="E89" s="57"/>
      <c r="F89" s="57"/>
      <c r="G89" s="57"/>
      <c r="H89" s="57"/>
      <c r="I89" s="57"/>
      <c r="J89" s="57"/>
      <c r="K89" s="45"/>
      <c r="L89" s="58"/>
      <c r="M89" s="56"/>
      <c r="N89" s="57"/>
      <c r="O89" s="57"/>
      <c r="P89" s="57"/>
      <c r="Q89" s="57"/>
      <c r="R89" s="57"/>
      <c r="S89" s="57"/>
      <c r="T89" s="45"/>
      <c r="U89" s="71"/>
      <c r="V89" s="57"/>
      <c r="W89" s="57"/>
      <c r="X89" s="57"/>
      <c r="Y89" s="57"/>
      <c r="Z89" s="57"/>
      <c r="AA89" s="57"/>
      <c r="AB89" s="57"/>
      <c r="AC89" s="57"/>
      <c r="AD89" s="71"/>
      <c r="AE89" s="57"/>
      <c r="AF89" s="57"/>
      <c r="AG89" s="57"/>
      <c r="AH89" s="57"/>
      <c r="AI89" s="57"/>
      <c r="AJ89" s="57"/>
      <c r="AK89" s="57"/>
      <c r="AL89" s="57"/>
      <c r="AM89" s="71"/>
      <c r="AN89" s="57"/>
      <c r="AO89" s="57"/>
      <c r="AP89" s="57"/>
      <c r="AQ89" s="57"/>
      <c r="AR89" s="57"/>
      <c r="AS89" s="57"/>
      <c r="AT89" s="57"/>
      <c r="AU89" s="57"/>
      <c r="AV89" s="71"/>
      <c r="AW89" s="57"/>
      <c r="AX89" s="55"/>
      <c r="AY89" s="55"/>
      <c r="AZ89" s="55"/>
      <c r="BA89" s="55"/>
      <c r="BB89" s="55"/>
      <c r="BC89" s="55"/>
      <c r="BD89" s="57"/>
    </row>
    <row r="90" spans="1:56">
      <c r="A90" s="12" t="str">
        <f>Roster!A90</f>
        <v/>
      </c>
      <c r="B90" s="28">
        <f>Roster!C90</f>
        <v>0</v>
      </c>
      <c r="C90" s="55"/>
      <c r="D90" s="56"/>
      <c r="E90" s="57"/>
      <c r="F90" s="57"/>
      <c r="G90" s="57"/>
      <c r="H90" s="57"/>
      <c r="I90" s="57"/>
      <c r="J90" s="57"/>
      <c r="K90" s="45"/>
      <c r="L90" s="58"/>
      <c r="M90" s="56"/>
      <c r="N90" s="57"/>
      <c r="O90" s="57"/>
      <c r="P90" s="57"/>
      <c r="Q90" s="57"/>
      <c r="R90" s="57"/>
      <c r="S90" s="57"/>
      <c r="T90" s="45"/>
      <c r="U90" s="71"/>
      <c r="V90" s="57"/>
      <c r="W90" s="57"/>
      <c r="X90" s="57"/>
      <c r="Y90" s="57"/>
      <c r="Z90" s="57"/>
      <c r="AA90" s="57"/>
      <c r="AB90" s="57"/>
      <c r="AC90" s="57"/>
      <c r="AD90" s="71"/>
      <c r="AE90" s="57"/>
      <c r="AF90" s="57"/>
      <c r="AG90" s="57"/>
      <c r="AH90" s="57"/>
      <c r="AI90" s="57"/>
      <c r="AJ90" s="57"/>
      <c r="AK90" s="57"/>
      <c r="AL90" s="57"/>
      <c r="AM90" s="71"/>
      <c r="AN90" s="57"/>
      <c r="AO90" s="57"/>
      <c r="AP90" s="57"/>
      <c r="AQ90" s="57"/>
      <c r="AR90" s="57"/>
      <c r="AS90" s="57"/>
      <c r="AT90" s="57"/>
      <c r="AU90" s="57"/>
      <c r="AV90" s="71"/>
      <c r="AW90" s="57"/>
      <c r="AX90" s="55"/>
      <c r="AY90" s="55"/>
      <c r="AZ90" s="55"/>
      <c r="BA90" s="55"/>
      <c r="BB90" s="55"/>
      <c r="BC90" s="55"/>
      <c r="BD90" s="57"/>
    </row>
    <row r="91" spans="1:56">
      <c r="A91" s="12" t="str">
        <f>Roster!A91</f>
        <v/>
      </c>
      <c r="B91" s="28">
        <f>Roster!C91</f>
        <v>0</v>
      </c>
      <c r="C91" s="55"/>
      <c r="D91" s="56"/>
      <c r="E91" s="57"/>
      <c r="F91" s="57"/>
      <c r="G91" s="57"/>
      <c r="H91" s="57"/>
      <c r="I91" s="57"/>
      <c r="J91" s="57"/>
      <c r="K91" s="45"/>
      <c r="L91" s="58"/>
      <c r="M91" s="56"/>
      <c r="N91" s="57"/>
      <c r="O91" s="57"/>
      <c r="P91" s="57"/>
      <c r="Q91" s="57"/>
      <c r="R91" s="57"/>
      <c r="S91" s="57"/>
      <c r="T91" s="45"/>
      <c r="U91" s="71"/>
      <c r="V91" s="57"/>
      <c r="W91" s="57"/>
      <c r="X91" s="57"/>
      <c r="Y91" s="57"/>
      <c r="Z91" s="57"/>
      <c r="AA91" s="57"/>
      <c r="AB91" s="57"/>
      <c r="AC91" s="57"/>
      <c r="AD91" s="71"/>
      <c r="AE91" s="57"/>
      <c r="AF91" s="57"/>
      <c r="AG91" s="57"/>
      <c r="AH91" s="57"/>
      <c r="AI91" s="57"/>
      <c r="AJ91" s="57"/>
      <c r="AK91" s="57"/>
      <c r="AL91" s="57"/>
      <c r="AM91" s="71"/>
      <c r="AN91" s="57"/>
      <c r="AO91" s="57"/>
      <c r="AP91" s="57"/>
      <c r="AQ91" s="57"/>
      <c r="AR91" s="57"/>
      <c r="AS91" s="57"/>
      <c r="AT91" s="57"/>
      <c r="AU91" s="57"/>
      <c r="AV91" s="71"/>
      <c r="AW91" s="57"/>
      <c r="AX91" s="55"/>
      <c r="AY91" s="55"/>
      <c r="AZ91" s="55"/>
      <c r="BA91" s="55"/>
      <c r="BB91" s="55"/>
      <c r="BC91" s="55"/>
      <c r="BD91" s="57"/>
    </row>
    <row r="92" spans="1:56">
      <c r="A92" s="12" t="str">
        <f>Roster!A92</f>
        <v/>
      </c>
      <c r="B92" s="28">
        <f>Roster!C92</f>
        <v>0</v>
      </c>
      <c r="C92" s="55"/>
      <c r="D92" s="56"/>
      <c r="E92" s="57"/>
      <c r="F92" s="57"/>
      <c r="G92" s="57"/>
      <c r="H92" s="57"/>
      <c r="I92" s="57"/>
      <c r="J92" s="57"/>
      <c r="K92" s="45"/>
      <c r="L92" s="58"/>
      <c r="M92" s="56"/>
      <c r="N92" s="57"/>
      <c r="O92" s="57"/>
      <c r="P92" s="57"/>
      <c r="Q92" s="57"/>
      <c r="R92" s="57"/>
      <c r="S92" s="57"/>
      <c r="T92" s="45"/>
      <c r="U92" s="71"/>
      <c r="V92" s="57"/>
      <c r="W92" s="57"/>
      <c r="X92" s="57"/>
      <c r="Y92" s="57"/>
      <c r="Z92" s="57"/>
      <c r="AA92" s="57"/>
      <c r="AB92" s="57"/>
      <c r="AC92" s="57"/>
      <c r="AD92" s="71"/>
      <c r="AE92" s="57"/>
      <c r="AF92" s="57"/>
      <c r="AG92" s="57"/>
      <c r="AH92" s="57"/>
      <c r="AI92" s="57"/>
      <c r="AJ92" s="57"/>
      <c r="AK92" s="57"/>
      <c r="AL92" s="57"/>
      <c r="AM92" s="71"/>
      <c r="AN92" s="57"/>
      <c r="AO92" s="57"/>
      <c r="AP92" s="57"/>
      <c r="AQ92" s="57"/>
      <c r="AR92" s="57"/>
      <c r="AS92" s="57"/>
      <c r="AT92" s="57"/>
      <c r="AU92" s="57"/>
      <c r="AV92" s="71"/>
      <c r="AW92" s="57"/>
      <c r="AX92" s="55"/>
      <c r="AY92" s="55"/>
      <c r="AZ92" s="55"/>
      <c r="BA92" s="55"/>
      <c r="BB92" s="55"/>
      <c r="BC92" s="55"/>
      <c r="BD92" s="57"/>
    </row>
    <row r="93" spans="1:56">
      <c r="A93" s="12" t="str">
        <f>Roster!A93</f>
        <v/>
      </c>
      <c r="B93" s="28">
        <f>Roster!C93</f>
        <v>0</v>
      </c>
      <c r="C93" s="55"/>
      <c r="D93" s="56"/>
      <c r="E93" s="57"/>
      <c r="F93" s="57"/>
      <c r="G93" s="57"/>
      <c r="H93" s="57"/>
      <c r="I93" s="57"/>
      <c r="J93" s="57"/>
      <c r="K93" s="45"/>
      <c r="L93" s="58"/>
      <c r="M93" s="56"/>
      <c r="N93" s="57"/>
      <c r="O93" s="57"/>
      <c r="P93" s="57"/>
      <c r="Q93" s="57"/>
      <c r="R93" s="57"/>
      <c r="S93" s="57"/>
      <c r="T93" s="45"/>
      <c r="U93" s="71"/>
      <c r="V93" s="57"/>
      <c r="W93" s="57"/>
      <c r="X93" s="57"/>
      <c r="Y93" s="57"/>
      <c r="Z93" s="57"/>
      <c r="AA93" s="57"/>
      <c r="AB93" s="57"/>
      <c r="AC93" s="57"/>
      <c r="AD93" s="71"/>
      <c r="AE93" s="57"/>
      <c r="AF93" s="57"/>
      <c r="AG93" s="57"/>
      <c r="AH93" s="57"/>
      <c r="AI93" s="57"/>
      <c r="AJ93" s="57"/>
      <c r="AK93" s="57"/>
      <c r="AL93" s="57"/>
      <c r="AM93" s="71"/>
      <c r="AN93" s="57"/>
      <c r="AO93" s="57"/>
      <c r="AP93" s="57"/>
      <c r="AQ93" s="57"/>
      <c r="AR93" s="57"/>
      <c r="AS93" s="57"/>
      <c r="AT93" s="57"/>
      <c r="AU93" s="57"/>
      <c r="AV93" s="71"/>
      <c r="AW93" s="57"/>
      <c r="AX93" s="55"/>
      <c r="AY93" s="55"/>
      <c r="AZ93" s="55"/>
      <c r="BA93" s="55"/>
      <c r="BB93" s="55"/>
      <c r="BC93" s="55"/>
      <c r="BD93" s="57"/>
    </row>
    <row r="94" spans="1:56">
      <c r="A94" s="12" t="str">
        <f>Roster!A94</f>
        <v/>
      </c>
      <c r="B94" s="28">
        <f>Roster!C94</f>
        <v>0</v>
      </c>
      <c r="C94" s="55"/>
      <c r="D94" s="56"/>
      <c r="E94" s="57"/>
      <c r="F94" s="57"/>
      <c r="G94" s="57"/>
      <c r="H94" s="57"/>
      <c r="I94" s="57"/>
      <c r="J94" s="57"/>
      <c r="K94" s="45"/>
      <c r="L94" s="58"/>
      <c r="M94" s="56"/>
      <c r="N94" s="57"/>
      <c r="O94" s="57"/>
      <c r="P94" s="57"/>
      <c r="Q94" s="57"/>
      <c r="R94" s="57"/>
      <c r="S94" s="57"/>
      <c r="T94" s="45"/>
      <c r="U94" s="71"/>
      <c r="V94" s="57"/>
      <c r="W94" s="57"/>
      <c r="X94" s="57"/>
      <c r="Y94" s="57"/>
      <c r="Z94" s="57"/>
      <c r="AA94" s="57"/>
      <c r="AB94" s="57"/>
      <c r="AC94" s="57"/>
      <c r="AD94" s="71"/>
      <c r="AE94" s="57"/>
      <c r="AF94" s="57"/>
      <c r="AG94" s="57"/>
      <c r="AH94" s="57"/>
      <c r="AI94" s="57"/>
      <c r="AJ94" s="57"/>
      <c r="AK94" s="57"/>
      <c r="AL94" s="57"/>
      <c r="AM94" s="71"/>
      <c r="AN94" s="57"/>
      <c r="AO94" s="57"/>
      <c r="AP94" s="57"/>
      <c r="AQ94" s="57"/>
      <c r="AR94" s="57"/>
      <c r="AS94" s="57"/>
      <c r="AT94" s="57"/>
      <c r="AU94" s="57"/>
      <c r="AV94" s="71"/>
      <c r="AW94" s="57"/>
      <c r="AX94" s="55"/>
      <c r="AY94" s="55"/>
      <c r="AZ94" s="55"/>
      <c r="BA94" s="55"/>
      <c r="BB94" s="55"/>
      <c r="BC94" s="55"/>
      <c r="BD94" s="57"/>
    </row>
    <row r="95" spans="1:56">
      <c r="A95" s="12" t="str">
        <f>Roster!A95</f>
        <v/>
      </c>
      <c r="B95" s="28">
        <f>Roster!C95</f>
        <v>0</v>
      </c>
      <c r="C95" s="55"/>
      <c r="D95" s="56"/>
      <c r="E95" s="57"/>
      <c r="F95" s="57"/>
      <c r="G95" s="57"/>
      <c r="H95" s="57"/>
      <c r="I95" s="57"/>
      <c r="J95" s="57"/>
      <c r="K95" s="45"/>
      <c r="L95" s="58"/>
      <c r="M95" s="56"/>
      <c r="N95" s="57"/>
      <c r="O95" s="57"/>
      <c r="P95" s="57"/>
      <c r="Q95" s="57"/>
      <c r="R95" s="57"/>
      <c r="S95" s="57"/>
      <c r="T95" s="45"/>
      <c r="U95" s="71"/>
      <c r="V95" s="57"/>
      <c r="W95" s="57"/>
      <c r="X95" s="57"/>
      <c r="Y95" s="57"/>
      <c r="Z95" s="57"/>
      <c r="AA95" s="57"/>
      <c r="AB95" s="57"/>
      <c r="AC95" s="57"/>
      <c r="AD95" s="71"/>
      <c r="AE95" s="57"/>
      <c r="AF95" s="57"/>
      <c r="AG95" s="57"/>
      <c r="AH95" s="57"/>
      <c r="AI95" s="57"/>
      <c r="AJ95" s="57"/>
      <c r="AK95" s="57"/>
      <c r="AL95" s="57"/>
      <c r="AM95" s="71"/>
      <c r="AN95" s="57"/>
      <c r="AO95" s="57"/>
      <c r="AP95" s="57"/>
      <c r="AQ95" s="57"/>
      <c r="AR95" s="57"/>
      <c r="AS95" s="57"/>
      <c r="AT95" s="57"/>
      <c r="AU95" s="57"/>
      <c r="AV95" s="71"/>
      <c r="AW95" s="57"/>
      <c r="AX95" s="55"/>
      <c r="AY95" s="55"/>
      <c r="AZ95" s="55"/>
      <c r="BA95" s="55"/>
      <c r="BB95" s="55"/>
      <c r="BC95" s="55"/>
      <c r="BD95" s="57"/>
    </row>
    <row r="96" spans="1:56">
      <c r="A96" s="12" t="str">
        <f>Roster!A96</f>
        <v/>
      </c>
      <c r="B96" s="28">
        <f>Roster!C96</f>
        <v>0</v>
      </c>
      <c r="C96" s="55"/>
      <c r="D96" s="56"/>
      <c r="E96" s="57"/>
      <c r="F96" s="57"/>
      <c r="G96" s="57"/>
      <c r="H96" s="57"/>
      <c r="I96" s="57"/>
      <c r="J96" s="57"/>
      <c r="K96" s="45"/>
      <c r="L96" s="58"/>
      <c r="M96" s="56"/>
      <c r="N96" s="57"/>
      <c r="O96" s="57"/>
      <c r="P96" s="57"/>
      <c r="Q96" s="57"/>
      <c r="R96" s="57"/>
      <c r="S96" s="57"/>
      <c r="T96" s="45"/>
      <c r="U96" s="71"/>
      <c r="V96" s="57"/>
      <c r="W96" s="57"/>
      <c r="X96" s="57"/>
      <c r="Y96" s="57"/>
      <c r="Z96" s="57"/>
      <c r="AA96" s="57"/>
      <c r="AB96" s="57"/>
      <c r="AC96" s="57"/>
      <c r="AD96" s="71"/>
      <c r="AE96" s="57"/>
      <c r="AF96" s="57"/>
      <c r="AG96" s="57"/>
      <c r="AH96" s="57"/>
      <c r="AI96" s="57"/>
      <c r="AJ96" s="57"/>
      <c r="AK96" s="57"/>
      <c r="AL96" s="57"/>
      <c r="AM96" s="71"/>
      <c r="AN96" s="57"/>
      <c r="AO96" s="57"/>
      <c r="AP96" s="57"/>
      <c r="AQ96" s="57"/>
      <c r="AR96" s="57"/>
      <c r="AS96" s="57"/>
      <c r="AT96" s="57"/>
      <c r="AU96" s="57"/>
      <c r="AV96" s="71"/>
      <c r="AW96" s="57"/>
      <c r="AX96" s="55"/>
      <c r="AY96" s="55"/>
      <c r="AZ96" s="55"/>
      <c r="BA96" s="55"/>
      <c r="BB96" s="55"/>
      <c r="BC96" s="55"/>
      <c r="BD96" s="57"/>
    </row>
    <row r="97" spans="1:56">
      <c r="A97" s="12" t="str">
        <f>Roster!A97</f>
        <v/>
      </c>
      <c r="B97" s="28">
        <f>Roster!C97</f>
        <v>0</v>
      </c>
      <c r="C97" s="55"/>
      <c r="D97" s="56"/>
      <c r="E97" s="57"/>
      <c r="F97" s="57"/>
      <c r="G97" s="57"/>
      <c r="H97" s="57"/>
      <c r="I97" s="57"/>
      <c r="J97" s="57"/>
      <c r="K97" s="45"/>
      <c r="L97" s="58"/>
      <c r="M97" s="56"/>
      <c r="N97" s="57"/>
      <c r="O97" s="57"/>
      <c r="P97" s="57"/>
      <c r="Q97" s="57"/>
      <c r="R97" s="57"/>
      <c r="S97" s="57"/>
      <c r="T97" s="45"/>
      <c r="U97" s="71"/>
      <c r="V97" s="57"/>
      <c r="W97" s="57"/>
      <c r="X97" s="57"/>
      <c r="Y97" s="57"/>
      <c r="Z97" s="57"/>
      <c r="AA97" s="57"/>
      <c r="AB97" s="57"/>
      <c r="AC97" s="57"/>
      <c r="AD97" s="71"/>
      <c r="AE97" s="57"/>
      <c r="AF97" s="57"/>
      <c r="AG97" s="57"/>
      <c r="AH97" s="57"/>
      <c r="AI97" s="57"/>
      <c r="AJ97" s="57"/>
      <c r="AK97" s="57"/>
      <c r="AL97" s="57"/>
      <c r="AM97" s="71"/>
      <c r="AN97" s="57"/>
      <c r="AO97" s="57"/>
      <c r="AP97" s="57"/>
      <c r="AQ97" s="57"/>
      <c r="AR97" s="57"/>
      <c r="AS97" s="57"/>
      <c r="AT97" s="57"/>
      <c r="AU97" s="57"/>
      <c r="AV97" s="71"/>
      <c r="AW97" s="57"/>
      <c r="AX97" s="55"/>
      <c r="AY97" s="55"/>
      <c r="AZ97" s="55"/>
      <c r="BA97" s="55"/>
      <c r="BB97" s="55"/>
      <c r="BC97" s="55"/>
      <c r="BD97" s="57"/>
    </row>
    <row r="98" spans="1:56">
      <c r="A98" s="12" t="str">
        <f>Roster!A98</f>
        <v/>
      </c>
      <c r="B98" s="28">
        <f>Roster!C98</f>
        <v>0</v>
      </c>
      <c r="C98" s="55"/>
      <c r="D98" s="56"/>
      <c r="E98" s="57"/>
      <c r="F98" s="57"/>
      <c r="G98" s="57"/>
      <c r="H98" s="57"/>
      <c r="I98" s="57"/>
      <c r="J98" s="57"/>
      <c r="K98" s="45"/>
      <c r="L98" s="58"/>
      <c r="M98" s="56"/>
      <c r="N98" s="57"/>
      <c r="O98" s="57"/>
      <c r="P98" s="57"/>
      <c r="Q98" s="57"/>
      <c r="R98" s="57"/>
      <c r="S98" s="57"/>
      <c r="T98" s="45"/>
      <c r="U98" s="71"/>
      <c r="V98" s="57"/>
      <c r="W98" s="57"/>
      <c r="X98" s="57"/>
      <c r="Y98" s="57"/>
      <c r="Z98" s="57"/>
      <c r="AA98" s="57"/>
      <c r="AB98" s="57"/>
      <c r="AC98" s="57"/>
      <c r="AD98" s="71"/>
      <c r="AE98" s="57"/>
      <c r="AF98" s="57"/>
      <c r="AG98" s="57"/>
      <c r="AH98" s="57"/>
      <c r="AI98" s="57"/>
      <c r="AJ98" s="57"/>
      <c r="AK98" s="57"/>
      <c r="AL98" s="57"/>
      <c r="AM98" s="71"/>
      <c r="AN98" s="57"/>
      <c r="AO98" s="57"/>
      <c r="AP98" s="57"/>
      <c r="AQ98" s="57"/>
      <c r="AR98" s="57"/>
      <c r="AS98" s="57"/>
      <c r="AT98" s="57"/>
      <c r="AU98" s="57"/>
      <c r="AV98" s="71"/>
      <c r="AW98" s="57"/>
      <c r="AX98" s="55"/>
      <c r="AY98" s="55"/>
      <c r="AZ98" s="55"/>
      <c r="BA98" s="55"/>
      <c r="BB98" s="55"/>
      <c r="BC98" s="55"/>
      <c r="BD98" s="57"/>
    </row>
    <row r="99" spans="1:56">
      <c r="A99" s="12" t="str">
        <f>Roster!A99</f>
        <v/>
      </c>
      <c r="B99" s="28">
        <f>Roster!C99</f>
        <v>0</v>
      </c>
      <c r="C99" s="55"/>
      <c r="D99" s="56"/>
      <c r="E99" s="57"/>
      <c r="F99" s="57"/>
      <c r="G99" s="57"/>
      <c r="H99" s="57"/>
      <c r="I99" s="57"/>
      <c r="J99" s="57"/>
      <c r="K99" s="45"/>
      <c r="L99" s="58"/>
      <c r="M99" s="56"/>
      <c r="N99" s="57"/>
      <c r="O99" s="57"/>
      <c r="P99" s="57"/>
      <c r="Q99" s="57"/>
      <c r="R99" s="57"/>
      <c r="S99" s="57"/>
      <c r="T99" s="45"/>
      <c r="U99" s="71"/>
      <c r="V99" s="57"/>
      <c r="W99" s="57"/>
      <c r="X99" s="57"/>
      <c r="Y99" s="57"/>
      <c r="Z99" s="57"/>
      <c r="AA99" s="57"/>
      <c r="AB99" s="57"/>
      <c r="AC99" s="57"/>
      <c r="AD99" s="71"/>
      <c r="AE99" s="57"/>
      <c r="AF99" s="57"/>
      <c r="AG99" s="57"/>
      <c r="AH99" s="57"/>
      <c r="AI99" s="57"/>
      <c r="AJ99" s="57"/>
      <c r="AK99" s="57"/>
      <c r="AL99" s="57"/>
      <c r="AM99" s="71"/>
      <c r="AN99" s="57"/>
      <c r="AO99" s="57"/>
      <c r="AP99" s="57"/>
      <c r="AQ99" s="57"/>
      <c r="AR99" s="57"/>
      <c r="AS99" s="57"/>
      <c r="AT99" s="57"/>
      <c r="AU99" s="57"/>
      <c r="AV99" s="71"/>
      <c r="AW99" s="57"/>
      <c r="AX99" s="55"/>
      <c r="AY99" s="55"/>
      <c r="AZ99" s="55"/>
      <c r="BA99" s="55"/>
      <c r="BB99" s="55"/>
      <c r="BC99" s="55"/>
      <c r="BD99" s="57"/>
    </row>
    <row r="100" spans="1:56">
      <c r="A100" s="12" t="str">
        <f>Roster!A100</f>
        <v/>
      </c>
      <c r="B100" s="28">
        <f>Roster!C100</f>
        <v>0</v>
      </c>
      <c r="C100" s="55"/>
      <c r="D100" s="56"/>
      <c r="E100" s="57"/>
      <c r="F100" s="57"/>
      <c r="G100" s="57"/>
      <c r="H100" s="57"/>
      <c r="I100" s="57"/>
      <c r="J100" s="57"/>
      <c r="K100" s="45"/>
      <c r="L100" s="58"/>
      <c r="M100" s="56"/>
      <c r="N100" s="57"/>
      <c r="O100" s="57"/>
      <c r="P100" s="57"/>
      <c r="Q100" s="57"/>
      <c r="R100" s="57"/>
      <c r="S100" s="57"/>
      <c r="T100" s="45"/>
      <c r="U100" s="71"/>
      <c r="V100" s="57"/>
      <c r="W100" s="57"/>
      <c r="X100" s="57"/>
      <c r="Y100" s="57"/>
      <c r="Z100" s="57"/>
      <c r="AA100" s="57"/>
      <c r="AB100" s="57"/>
      <c r="AC100" s="57"/>
      <c r="AD100" s="71"/>
      <c r="AE100" s="57"/>
      <c r="AF100" s="57"/>
      <c r="AG100" s="57"/>
      <c r="AH100" s="57"/>
      <c r="AI100" s="57"/>
      <c r="AJ100" s="57"/>
      <c r="AK100" s="57"/>
      <c r="AL100" s="57"/>
      <c r="AM100" s="71"/>
      <c r="AN100" s="57"/>
      <c r="AO100" s="57"/>
      <c r="AP100" s="57"/>
      <c r="AQ100" s="57"/>
      <c r="AR100" s="57"/>
      <c r="AS100" s="57"/>
      <c r="AT100" s="57"/>
      <c r="AU100" s="57"/>
      <c r="AV100" s="71"/>
      <c r="AW100" s="57"/>
      <c r="AX100" s="55"/>
      <c r="AY100" s="55"/>
      <c r="AZ100" s="55"/>
      <c r="BA100" s="55"/>
      <c r="BB100" s="55"/>
      <c r="BC100" s="55"/>
      <c r="BD100" s="57"/>
    </row>
    <row r="101" spans="1:56">
      <c r="A101" s="12" t="str">
        <f>Roster!A101</f>
        <v/>
      </c>
      <c r="B101" s="28">
        <f>Roster!C101</f>
        <v>0</v>
      </c>
      <c r="C101" s="55"/>
      <c r="D101" s="56"/>
      <c r="E101" s="57"/>
      <c r="F101" s="57"/>
      <c r="G101" s="57"/>
      <c r="H101" s="57"/>
      <c r="I101" s="57"/>
      <c r="J101" s="57"/>
      <c r="K101" s="45"/>
      <c r="L101" s="58"/>
      <c r="M101" s="56"/>
      <c r="N101" s="57"/>
      <c r="O101" s="57"/>
      <c r="P101" s="57"/>
      <c r="Q101" s="57"/>
      <c r="R101" s="57"/>
      <c r="S101" s="57"/>
      <c r="T101" s="45"/>
      <c r="U101" s="71"/>
      <c r="V101" s="57"/>
      <c r="W101" s="57"/>
      <c r="X101" s="57"/>
      <c r="Y101" s="57"/>
      <c r="Z101" s="57"/>
      <c r="AA101" s="57"/>
      <c r="AB101" s="57"/>
      <c r="AC101" s="57"/>
      <c r="AD101" s="71"/>
      <c r="AE101" s="57"/>
      <c r="AF101" s="57"/>
      <c r="AG101" s="57"/>
      <c r="AH101" s="57"/>
      <c r="AI101" s="57"/>
      <c r="AJ101" s="57"/>
      <c r="AK101" s="57"/>
      <c r="AL101" s="57"/>
      <c r="AM101" s="71"/>
      <c r="AN101" s="57"/>
      <c r="AO101" s="57"/>
      <c r="AP101" s="57"/>
      <c r="AQ101" s="57"/>
      <c r="AR101" s="57"/>
      <c r="AS101" s="57"/>
      <c r="AT101" s="57"/>
      <c r="AU101" s="57"/>
      <c r="AV101" s="71"/>
      <c r="AW101" s="57"/>
      <c r="AX101" s="55"/>
      <c r="AY101" s="55"/>
      <c r="AZ101" s="55"/>
      <c r="BA101" s="55"/>
      <c r="BB101" s="55"/>
      <c r="BC101" s="55"/>
      <c r="BD101" s="57"/>
    </row>
    <row r="102" spans="1:56">
      <c r="A102" s="12" t="str">
        <f>Roster!A102</f>
        <v/>
      </c>
      <c r="B102" s="28">
        <f>Roster!C102</f>
        <v>0</v>
      </c>
      <c r="C102" s="55"/>
      <c r="D102" s="56"/>
      <c r="E102" s="57"/>
      <c r="F102" s="57"/>
      <c r="G102" s="57"/>
      <c r="H102" s="57"/>
      <c r="I102" s="57"/>
      <c r="J102" s="57"/>
      <c r="K102" s="45"/>
      <c r="L102" s="58"/>
      <c r="M102" s="56"/>
      <c r="N102" s="57"/>
      <c r="O102" s="57"/>
      <c r="P102" s="57"/>
      <c r="Q102" s="57"/>
      <c r="R102" s="57"/>
      <c r="S102" s="57"/>
      <c r="T102" s="45"/>
      <c r="U102" s="71"/>
      <c r="V102" s="57"/>
      <c r="W102" s="57"/>
      <c r="X102" s="57"/>
      <c r="Y102" s="57"/>
      <c r="Z102" s="57"/>
      <c r="AA102" s="57"/>
      <c r="AB102" s="57"/>
      <c r="AC102" s="57"/>
      <c r="AD102" s="71"/>
      <c r="AE102" s="57"/>
      <c r="AF102" s="57"/>
      <c r="AG102" s="57"/>
      <c r="AH102" s="57"/>
      <c r="AI102" s="57"/>
      <c r="AJ102" s="57"/>
      <c r="AK102" s="57"/>
      <c r="AL102" s="57"/>
      <c r="AM102" s="71"/>
      <c r="AN102" s="57"/>
      <c r="AO102" s="57"/>
      <c r="AP102" s="57"/>
      <c r="AQ102" s="57"/>
      <c r="AR102" s="57"/>
      <c r="AS102" s="57"/>
      <c r="AT102" s="57"/>
      <c r="AU102" s="57"/>
      <c r="AV102" s="71"/>
      <c r="AW102" s="57"/>
      <c r="AX102" s="55"/>
      <c r="AY102" s="55"/>
      <c r="AZ102" s="55"/>
      <c r="BA102" s="55"/>
      <c r="BB102" s="55"/>
      <c r="BC102" s="55"/>
      <c r="BD102" s="57"/>
    </row>
    <row r="103" spans="1:56">
      <c r="A103" s="12" t="str">
        <f>Roster!A103</f>
        <v/>
      </c>
      <c r="B103" s="28">
        <f>Roster!C103</f>
        <v>0</v>
      </c>
      <c r="C103" s="55"/>
      <c r="D103" s="56"/>
      <c r="E103" s="57"/>
      <c r="F103" s="57"/>
      <c r="G103" s="57"/>
      <c r="H103" s="57"/>
      <c r="I103" s="57"/>
      <c r="J103" s="57"/>
      <c r="K103" s="45"/>
      <c r="L103" s="58"/>
      <c r="M103" s="56"/>
      <c r="N103" s="57"/>
      <c r="O103" s="57"/>
      <c r="P103" s="57"/>
      <c r="Q103" s="57"/>
      <c r="R103" s="57"/>
      <c r="S103" s="57"/>
      <c r="T103" s="45"/>
      <c r="U103" s="71"/>
      <c r="V103" s="57"/>
      <c r="W103" s="57"/>
      <c r="X103" s="57"/>
      <c r="Y103" s="57"/>
      <c r="Z103" s="57"/>
      <c r="AA103" s="57"/>
      <c r="AB103" s="57"/>
      <c r="AC103" s="57"/>
      <c r="AD103" s="71"/>
      <c r="AE103" s="57"/>
      <c r="AF103" s="57"/>
      <c r="AG103" s="57"/>
      <c r="AH103" s="57"/>
      <c r="AI103" s="57"/>
      <c r="AJ103" s="57"/>
      <c r="AK103" s="57"/>
      <c r="AL103" s="57"/>
      <c r="AM103" s="71"/>
      <c r="AN103" s="57"/>
      <c r="AO103" s="57"/>
      <c r="AP103" s="57"/>
      <c r="AQ103" s="57"/>
      <c r="AR103" s="57"/>
      <c r="AS103" s="57"/>
      <c r="AT103" s="57"/>
      <c r="AU103" s="57"/>
      <c r="AV103" s="71"/>
      <c r="AW103" s="57"/>
      <c r="AX103" s="55"/>
      <c r="AY103" s="55"/>
      <c r="AZ103" s="55"/>
      <c r="BA103" s="55"/>
      <c r="BB103" s="55"/>
      <c r="BC103" s="55"/>
      <c r="BD103" s="57"/>
    </row>
    <row r="104" spans="1:56">
      <c r="A104" s="12" t="str">
        <f>Roster!A104</f>
        <v/>
      </c>
      <c r="B104" s="28">
        <f>Roster!C104</f>
        <v>0</v>
      </c>
      <c r="C104" s="55"/>
      <c r="D104" s="56"/>
      <c r="E104" s="57"/>
      <c r="F104" s="57"/>
      <c r="G104" s="57"/>
      <c r="H104" s="57"/>
      <c r="I104" s="57"/>
      <c r="J104" s="57"/>
      <c r="K104" s="45"/>
      <c r="L104" s="58"/>
      <c r="M104" s="56"/>
      <c r="N104" s="57"/>
      <c r="O104" s="57"/>
      <c r="P104" s="57"/>
      <c r="Q104" s="57"/>
      <c r="R104" s="57"/>
      <c r="S104" s="57"/>
      <c r="T104" s="45"/>
      <c r="U104" s="71"/>
      <c r="V104" s="57"/>
      <c r="W104" s="57"/>
      <c r="X104" s="57"/>
      <c r="Y104" s="57"/>
      <c r="Z104" s="57"/>
      <c r="AA104" s="57"/>
      <c r="AB104" s="57"/>
      <c r="AC104" s="57"/>
      <c r="AD104" s="71"/>
      <c r="AE104" s="57"/>
      <c r="AF104" s="57"/>
      <c r="AG104" s="57"/>
      <c r="AH104" s="57"/>
      <c r="AI104" s="57"/>
      <c r="AJ104" s="57"/>
      <c r="AK104" s="57"/>
      <c r="AL104" s="57"/>
      <c r="AM104" s="71"/>
      <c r="AN104" s="57"/>
      <c r="AO104" s="57"/>
      <c r="AP104" s="57"/>
      <c r="AQ104" s="57"/>
      <c r="AR104" s="57"/>
      <c r="AS104" s="57"/>
      <c r="AT104" s="57"/>
      <c r="AU104" s="57"/>
      <c r="AV104" s="71"/>
      <c r="AW104" s="57"/>
      <c r="AX104" s="55"/>
      <c r="AY104" s="55"/>
      <c r="AZ104" s="55"/>
      <c r="BA104" s="55"/>
      <c r="BB104" s="55"/>
      <c r="BC104" s="55"/>
      <c r="BD104" s="57"/>
    </row>
    <row r="105" spans="1:56">
      <c r="A105" s="12" t="str">
        <f>Roster!A105</f>
        <v/>
      </c>
      <c r="B105" s="28">
        <f>Roster!C105</f>
        <v>0</v>
      </c>
      <c r="C105" s="55"/>
      <c r="D105" s="56"/>
      <c r="E105" s="57"/>
      <c r="F105" s="57"/>
      <c r="G105" s="57"/>
      <c r="H105" s="57"/>
      <c r="I105" s="57"/>
      <c r="J105" s="57"/>
      <c r="K105" s="45"/>
      <c r="L105" s="58"/>
      <c r="M105" s="56"/>
      <c r="N105" s="57"/>
      <c r="O105" s="57"/>
      <c r="P105" s="57"/>
      <c r="Q105" s="57"/>
      <c r="R105" s="57"/>
      <c r="S105" s="57"/>
      <c r="T105" s="45"/>
      <c r="U105" s="71"/>
      <c r="V105" s="57"/>
      <c r="W105" s="57"/>
      <c r="X105" s="57"/>
      <c r="Y105" s="57"/>
      <c r="Z105" s="57"/>
      <c r="AA105" s="57"/>
      <c r="AB105" s="57"/>
      <c r="AC105" s="57"/>
      <c r="AD105" s="71"/>
      <c r="AE105" s="57"/>
      <c r="AF105" s="57"/>
      <c r="AG105" s="57"/>
      <c r="AH105" s="57"/>
      <c r="AI105" s="57"/>
      <c r="AJ105" s="57"/>
      <c r="AK105" s="57"/>
      <c r="AL105" s="57"/>
      <c r="AM105" s="71"/>
      <c r="AN105" s="57"/>
      <c r="AO105" s="57"/>
      <c r="AP105" s="57"/>
      <c r="AQ105" s="57"/>
      <c r="AR105" s="57"/>
      <c r="AS105" s="57"/>
      <c r="AT105" s="57"/>
      <c r="AU105" s="57"/>
      <c r="AV105" s="71"/>
      <c r="AW105" s="57"/>
      <c r="AX105" s="55"/>
      <c r="AY105" s="55"/>
      <c r="AZ105" s="55"/>
      <c r="BA105" s="55"/>
      <c r="BB105" s="55"/>
      <c r="BC105" s="55"/>
      <c r="BD105" s="57"/>
    </row>
    <row r="106" spans="1:56">
      <c r="A106" s="12" t="str">
        <f>Roster!A106</f>
        <v/>
      </c>
      <c r="B106" s="28">
        <f>Roster!C106</f>
        <v>0</v>
      </c>
      <c r="C106" s="55"/>
      <c r="D106" s="56"/>
      <c r="E106" s="57"/>
      <c r="F106" s="57"/>
      <c r="G106" s="57"/>
      <c r="H106" s="57"/>
      <c r="I106" s="57"/>
      <c r="J106" s="57"/>
      <c r="K106" s="45"/>
      <c r="L106" s="58"/>
      <c r="M106" s="56"/>
      <c r="N106" s="57"/>
      <c r="O106" s="57"/>
      <c r="P106" s="57"/>
      <c r="Q106" s="57"/>
      <c r="R106" s="57"/>
      <c r="S106" s="57"/>
      <c r="T106" s="45"/>
      <c r="U106" s="71"/>
      <c r="V106" s="57"/>
      <c r="W106" s="57"/>
      <c r="X106" s="57"/>
      <c r="Y106" s="57"/>
      <c r="Z106" s="57"/>
      <c r="AA106" s="57"/>
      <c r="AB106" s="57"/>
      <c r="AC106" s="57"/>
      <c r="AD106" s="71"/>
      <c r="AE106" s="57"/>
      <c r="AF106" s="57"/>
      <c r="AG106" s="57"/>
      <c r="AH106" s="57"/>
      <c r="AI106" s="57"/>
      <c r="AJ106" s="57"/>
      <c r="AK106" s="57"/>
      <c r="AL106" s="57"/>
      <c r="AM106" s="71"/>
      <c r="AN106" s="57"/>
      <c r="AO106" s="57"/>
      <c r="AP106" s="57"/>
      <c r="AQ106" s="57"/>
      <c r="AR106" s="57"/>
      <c r="AS106" s="57"/>
      <c r="AT106" s="57"/>
      <c r="AU106" s="57"/>
      <c r="AV106" s="71"/>
      <c r="AW106" s="57"/>
      <c r="AX106" s="55"/>
      <c r="AY106" s="55"/>
      <c r="AZ106" s="55"/>
      <c r="BA106" s="55"/>
      <c r="BB106" s="55"/>
      <c r="BC106" s="55"/>
      <c r="BD106" s="57"/>
    </row>
    <row r="107" spans="1:56">
      <c r="A107" s="12" t="str">
        <f>Roster!A107</f>
        <v/>
      </c>
      <c r="B107" s="28">
        <f>Roster!C107</f>
        <v>0</v>
      </c>
      <c r="C107" s="55"/>
      <c r="D107" s="56"/>
      <c r="E107" s="57"/>
      <c r="F107" s="57"/>
      <c r="G107" s="57"/>
      <c r="H107" s="57"/>
      <c r="I107" s="57"/>
      <c r="J107" s="57"/>
      <c r="K107" s="45"/>
      <c r="L107" s="58"/>
      <c r="M107" s="56"/>
      <c r="N107" s="57"/>
      <c r="O107" s="57"/>
      <c r="P107" s="57"/>
      <c r="Q107" s="57"/>
      <c r="R107" s="57"/>
      <c r="S107" s="57"/>
      <c r="T107" s="45"/>
      <c r="U107" s="71"/>
      <c r="V107" s="57"/>
      <c r="W107" s="57"/>
      <c r="X107" s="57"/>
      <c r="Y107" s="57"/>
      <c r="Z107" s="57"/>
      <c r="AA107" s="57"/>
      <c r="AB107" s="57"/>
      <c r="AC107" s="57"/>
      <c r="AD107" s="71"/>
      <c r="AE107" s="57"/>
      <c r="AF107" s="57"/>
      <c r="AG107" s="57"/>
      <c r="AH107" s="57"/>
      <c r="AI107" s="57"/>
      <c r="AJ107" s="57"/>
      <c r="AK107" s="57"/>
      <c r="AL107" s="57"/>
      <c r="AM107" s="71"/>
      <c r="AN107" s="57"/>
      <c r="AO107" s="57"/>
      <c r="AP107" s="57"/>
      <c r="AQ107" s="57"/>
      <c r="AR107" s="57"/>
      <c r="AS107" s="57"/>
      <c r="AT107" s="57"/>
      <c r="AU107" s="57"/>
      <c r="AV107" s="71"/>
      <c r="AW107" s="57"/>
      <c r="AX107" s="55"/>
      <c r="AY107" s="55"/>
      <c r="AZ107" s="55"/>
      <c r="BA107" s="55"/>
      <c r="BB107" s="55"/>
      <c r="BC107" s="55"/>
      <c r="BD107" s="57"/>
    </row>
    <row r="108" spans="1:56">
      <c r="A108" s="12" t="str">
        <f>Roster!A108</f>
        <v/>
      </c>
      <c r="B108" s="28">
        <f>Roster!C108</f>
        <v>0</v>
      </c>
      <c r="C108" s="55"/>
      <c r="D108" s="56"/>
      <c r="E108" s="57"/>
      <c r="F108" s="57"/>
      <c r="G108" s="57"/>
      <c r="H108" s="57"/>
      <c r="I108" s="57"/>
      <c r="J108" s="57"/>
      <c r="K108" s="45"/>
      <c r="L108" s="58"/>
      <c r="M108" s="56"/>
      <c r="N108" s="57"/>
      <c r="O108" s="57"/>
      <c r="P108" s="57"/>
      <c r="Q108" s="57"/>
      <c r="R108" s="57"/>
      <c r="S108" s="57"/>
      <c r="T108" s="45"/>
      <c r="U108" s="71"/>
      <c r="V108" s="57"/>
      <c r="W108" s="57"/>
      <c r="X108" s="57"/>
      <c r="Y108" s="57"/>
      <c r="Z108" s="57"/>
      <c r="AA108" s="57"/>
      <c r="AB108" s="57"/>
      <c r="AC108" s="57"/>
      <c r="AD108" s="71"/>
      <c r="AE108" s="57"/>
      <c r="AF108" s="57"/>
      <c r="AG108" s="57"/>
      <c r="AH108" s="57"/>
      <c r="AI108" s="57"/>
      <c r="AJ108" s="57"/>
      <c r="AK108" s="57"/>
      <c r="AL108" s="57"/>
      <c r="AM108" s="71"/>
      <c r="AN108" s="57"/>
      <c r="AO108" s="57"/>
      <c r="AP108" s="57"/>
      <c r="AQ108" s="57"/>
      <c r="AR108" s="57"/>
      <c r="AS108" s="57"/>
      <c r="AT108" s="57"/>
      <c r="AU108" s="57"/>
      <c r="AV108" s="71"/>
      <c r="AW108" s="57"/>
      <c r="AX108" s="55"/>
      <c r="AY108" s="55"/>
      <c r="AZ108" s="55"/>
      <c r="BA108" s="55"/>
      <c r="BB108" s="55"/>
      <c r="BC108" s="55"/>
      <c r="BD108" s="57"/>
    </row>
    <row r="109" spans="1:56">
      <c r="A109" s="12" t="str">
        <f>Roster!A109</f>
        <v/>
      </c>
      <c r="B109" s="28">
        <f>Roster!C109</f>
        <v>0</v>
      </c>
      <c r="C109" s="55"/>
      <c r="D109" s="56"/>
      <c r="E109" s="57"/>
      <c r="F109" s="57"/>
      <c r="G109" s="57"/>
      <c r="H109" s="57"/>
      <c r="I109" s="57"/>
      <c r="J109" s="57"/>
      <c r="K109" s="45"/>
      <c r="L109" s="58"/>
      <c r="M109" s="56"/>
      <c r="N109" s="57"/>
      <c r="O109" s="57"/>
      <c r="P109" s="57"/>
      <c r="Q109" s="57"/>
      <c r="R109" s="57"/>
      <c r="S109" s="57"/>
      <c r="T109" s="45"/>
      <c r="U109" s="71"/>
      <c r="V109" s="57"/>
      <c r="W109" s="57"/>
      <c r="X109" s="57"/>
      <c r="Y109" s="57"/>
      <c r="Z109" s="57"/>
      <c r="AA109" s="57"/>
      <c r="AB109" s="57"/>
      <c r="AC109" s="57"/>
      <c r="AD109" s="71"/>
      <c r="AE109" s="57"/>
      <c r="AF109" s="57"/>
      <c r="AG109" s="57"/>
      <c r="AH109" s="57"/>
      <c r="AI109" s="57"/>
      <c r="AJ109" s="57"/>
      <c r="AK109" s="57"/>
      <c r="AL109" s="57"/>
      <c r="AM109" s="71"/>
      <c r="AN109" s="57"/>
      <c r="AO109" s="57"/>
      <c r="AP109" s="57"/>
      <c r="AQ109" s="57"/>
      <c r="AR109" s="57"/>
      <c r="AS109" s="57"/>
      <c r="AT109" s="57"/>
      <c r="AU109" s="57"/>
      <c r="AV109" s="71"/>
      <c r="AW109" s="57"/>
      <c r="AX109" s="55"/>
      <c r="AY109" s="55"/>
      <c r="AZ109" s="55"/>
      <c r="BA109" s="55"/>
      <c r="BB109" s="55"/>
      <c r="BC109" s="55"/>
      <c r="BD109" s="57"/>
    </row>
    <row r="110" spans="1:56">
      <c r="A110" s="12" t="str">
        <f>Roster!A110</f>
        <v/>
      </c>
      <c r="B110" s="28">
        <f>Roster!C110</f>
        <v>0</v>
      </c>
      <c r="C110" s="55"/>
      <c r="D110" s="56"/>
      <c r="E110" s="57"/>
      <c r="F110" s="57"/>
      <c r="G110" s="57"/>
      <c r="H110" s="57"/>
      <c r="I110" s="57"/>
      <c r="J110" s="57"/>
      <c r="K110" s="45"/>
      <c r="L110" s="58"/>
      <c r="M110" s="56"/>
      <c r="N110" s="57"/>
      <c r="O110" s="57"/>
      <c r="P110" s="57"/>
      <c r="Q110" s="57"/>
      <c r="R110" s="57"/>
      <c r="S110" s="57"/>
      <c r="T110" s="45"/>
      <c r="U110" s="71"/>
      <c r="V110" s="57"/>
      <c r="W110" s="57"/>
      <c r="X110" s="57"/>
      <c r="Y110" s="57"/>
      <c r="Z110" s="57"/>
      <c r="AA110" s="57"/>
      <c r="AB110" s="57"/>
      <c r="AC110" s="57"/>
      <c r="AD110" s="71"/>
      <c r="AE110" s="57"/>
      <c r="AF110" s="57"/>
      <c r="AG110" s="57"/>
      <c r="AH110" s="57"/>
      <c r="AI110" s="57"/>
      <c r="AJ110" s="57"/>
      <c r="AK110" s="57"/>
      <c r="AL110" s="57"/>
      <c r="AM110" s="71"/>
      <c r="AN110" s="57"/>
      <c r="AO110" s="57"/>
      <c r="AP110" s="57"/>
      <c r="AQ110" s="57"/>
      <c r="AR110" s="57"/>
      <c r="AS110" s="57"/>
      <c r="AT110" s="57"/>
      <c r="AU110" s="57"/>
      <c r="AV110" s="71"/>
      <c r="AW110" s="57"/>
      <c r="AX110" s="55"/>
      <c r="AY110" s="55"/>
      <c r="AZ110" s="55"/>
      <c r="BA110" s="55"/>
      <c r="BB110" s="55"/>
      <c r="BC110" s="55"/>
      <c r="BD110" s="57"/>
    </row>
    <row r="111" spans="1:56">
      <c r="A111" s="12" t="str">
        <f>Roster!A111</f>
        <v/>
      </c>
      <c r="B111" s="28">
        <f>Roster!C111</f>
        <v>0</v>
      </c>
      <c r="C111" s="55"/>
      <c r="D111" s="56"/>
      <c r="E111" s="57"/>
      <c r="F111" s="57"/>
      <c r="G111" s="57"/>
      <c r="H111" s="57"/>
      <c r="I111" s="57"/>
      <c r="J111" s="57"/>
      <c r="K111" s="45"/>
      <c r="L111" s="58"/>
      <c r="M111" s="56"/>
      <c r="N111" s="57"/>
      <c r="O111" s="57"/>
      <c r="P111" s="57"/>
      <c r="Q111" s="57"/>
      <c r="R111" s="57"/>
      <c r="S111" s="57"/>
      <c r="T111" s="45"/>
      <c r="U111" s="71"/>
      <c r="V111" s="57"/>
      <c r="W111" s="57"/>
      <c r="X111" s="57"/>
      <c r="Y111" s="57"/>
      <c r="Z111" s="57"/>
      <c r="AA111" s="57"/>
      <c r="AB111" s="57"/>
      <c r="AC111" s="57"/>
      <c r="AD111" s="71"/>
      <c r="AE111" s="57"/>
      <c r="AF111" s="57"/>
      <c r="AG111" s="57"/>
      <c r="AH111" s="57"/>
      <c r="AI111" s="57"/>
      <c r="AJ111" s="57"/>
      <c r="AK111" s="57"/>
      <c r="AL111" s="57"/>
      <c r="AM111" s="71"/>
      <c r="AN111" s="57"/>
      <c r="AO111" s="57"/>
      <c r="AP111" s="57"/>
      <c r="AQ111" s="57"/>
      <c r="AR111" s="57"/>
      <c r="AS111" s="57"/>
      <c r="AT111" s="57"/>
      <c r="AU111" s="57"/>
      <c r="AV111" s="71"/>
      <c r="AW111" s="57"/>
      <c r="AX111" s="55"/>
      <c r="AY111" s="55"/>
      <c r="AZ111" s="55"/>
      <c r="BA111" s="55"/>
      <c r="BB111" s="55"/>
      <c r="BC111" s="55"/>
      <c r="BD111" s="57"/>
    </row>
    <row r="112" spans="1:56">
      <c r="A112" s="12" t="str">
        <f>Roster!A112</f>
        <v/>
      </c>
      <c r="B112" s="28">
        <f>Roster!C112</f>
        <v>0</v>
      </c>
      <c r="C112" s="55"/>
      <c r="D112" s="56"/>
      <c r="E112" s="57"/>
      <c r="F112" s="57"/>
      <c r="G112" s="57"/>
      <c r="H112" s="57"/>
      <c r="I112" s="57"/>
      <c r="J112" s="57"/>
      <c r="K112" s="45"/>
      <c r="L112" s="58"/>
      <c r="M112" s="56"/>
      <c r="N112" s="57"/>
      <c r="O112" s="57"/>
      <c r="P112" s="57"/>
      <c r="Q112" s="57"/>
      <c r="R112" s="57"/>
      <c r="S112" s="57"/>
      <c r="T112" s="45"/>
      <c r="U112" s="71"/>
      <c r="V112" s="57"/>
      <c r="W112" s="57"/>
      <c r="X112" s="57"/>
      <c r="Y112" s="57"/>
      <c r="Z112" s="57"/>
      <c r="AA112" s="57"/>
      <c r="AB112" s="57"/>
      <c r="AC112" s="57"/>
      <c r="AD112" s="71"/>
      <c r="AE112" s="57"/>
      <c r="AF112" s="57"/>
      <c r="AG112" s="57"/>
      <c r="AH112" s="57"/>
      <c r="AI112" s="57"/>
      <c r="AJ112" s="57"/>
      <c r="AK112" s="57"/>
      <c r="AL112" s="57"/>
      <c r="AM112" s="71"/>
      <c r="AN112" s="57"/>
      <c r="AO112" s="57"/>
      <c r="AP112" s="57"/>
      <c r="AQ112" s="57"/>
      <c r="AR112" s="57"/>
      <c r="AS112" s="57"/>
      <c r="AT112" s="57"/>
      <c r="AU112" s="57"/>
      <c r="AV112" s="71"/>
      <c r="AW112" s="57"/>
      <c r="AX112" s="55"/>
      <c r="AY112" s="55"/>
      <c r="AZ112" s="55"/>
      <c r="BA112" s="55"/>
      <c r="BB112" s="55"/>
      <c r="BC112" s="55"/>
      <c r="BD112" s="57"/>
    </row>
    <row r="113" spans="1:56">
      <c r="A113" s="12" t="str">
        <f>Roster!A113</f>
        <v/>
      </c>
      <c r="B113" s="28">
        <f>Roster!C113</f>
        <v>0</v>
      </c>
      <c r="C113" s="55"/>
      <c r="D113" s="56"/>
      <c r="E113" s="57"/>
      <c r="F113" s="57"/>
      <c r="G113" s="57"/>
      <c r="H113" s="57"/>
      <c r="I113" s="57"/>
      <c r="J113" s="57"/>
      <c r="K113" s="45"/>
      <c r="L113" s="58"/>
      <c r="M113" s="56"/>
      <c r="N113" s="57"/>
      <c r="O113" s="57"/>
      <c r="P113" s="57"/>
      <c r="Q113" s="57"/>
      <c r="R113" s="57"/>
      <c r="S113" s="57"/>
      <c r="T113" s="45"/>
      <c r="U113" s="71"/>
      <c r="V113" s="57"/>
      <c r="W113" s="57"/>
      <c r="X113" s="57"/>
      <c r="Y113" s="57"/>
      <c r="Z113" s="57"/>
      <c r="AA113" s="57"/>
      <c r="AB113" s="57"/>
      <c r="AC113" s="57"/>
      <c r="AD113" s="71"/>
      <c r="AE113" s="57"/>
      <c r="AF113" s="57"/>
      <c r="AG113" s="57"/>
      <c r="AH113" s="57"/>
      <c r="AI113" s="57"/>
      <c r="AJ113" s="57"/>
      <c r="AK113" s="57"/>
      <c r="AL113" s="57"/>
      <c r="AM113" s="71"/>
      <c r="AN113" s="57"/>
      <c r="AO113" s="57"/>
      <c r="AP113" s="57"/>
      <c r="AQ113" s="57"/>
      <c r="AR113" s="57"/>
      <c r="AS113" s="57"/>
      <c r="AT113" s="57"/>
      <c r="AU113" s="57"/>
      <c r="AV113" s="71"/>
      <c r="AW113" s="57"/>
      <c r="AX113" s="55"/>
      <c r="AY113" s="55"/>
      <c r="AZ113" s="55"/>
      <c r="BA113" s="55"/>
      <c r="BB113" s="55"/>
      <c r="BC113" s="55"/>
      <c r="BD113" s="57"/>
    </row>
    <row r="114" spans="1:56">
      <c r="A114" s="12" t="str">
        <f>Roster!A114</f>
        <v/>
      </c>
      <c r="B114" s="28">
        <f>Roster!C114</f>
        <v>0</v>
      </c>
      <c r="C114" s="55"/>
      <c r="D114" s="56"/>
      <c r="E114" s="57"/>
      <c r="F114" s="57"/>
      <c r="G114" s="57"/>
      <c r="H114" s="57"/>
      <c r="I114" s="57"/>
      <c r="J114" s="57"/>
      <c r="K114" s="45"/>
      <c r="L114" s="58"/>
      <c r="M114" s="56"/>
      <c r="N114" s="57"/>
      <c r="O114" s="57"/>
      <c r="P114" s="57"/>
      <c r="Q114" s="57"/>
      <c r="R114" s="57"/>
      <c r="S114" s="57"/>
      <c r="T114" s="45"/>
      <c r="U114" s="71"/>
      <c r="V114" s="57"/>
      <c r="W114" s="57"/>
      <c r="X114" s="57"/>
      <c r="Y114" s="57"/>
      <c r="Z114" s="57"/>
      <c r="AA114" s="57"/>
      <c r="AB114" s="57"/>
      <c r="AC114" s="57"/>
      <c r="AD114" s="71"/>
      <c r="AE114" s="57"/>
      <c r="AF114" s="57"/>
      <c r="AG114" s="57"/>
      <c r="AH114" s="57"/>
      <c r="AI114" s="57"/>
      <c r="AJ114" s="57"/>
      <c r="AK114" s="57"/>
      <c r="AL114" s="57"/>
      <c r="AM114" s="71"/>
      <c r="AN114" s="57"/>
      <c r="AO114" s="57"/>
      <c r="AP114" s="57"/>
      <c r="AQ114" s="57"/>
      <c r="AR114" s="57"/>
      <c r="AS114" s="57"/>
      <c r="AT114" s="57"/>
      <c r="AU114" s="57"/>
      <c r="AV114" s="71"/>
      <c r="AW114" s="57"/>
      <c r="AX114" s="55"/>
      <c r="AY114" s="55"/>
      <c r="AZ114" s="55"/>
      <c r="BA114" s="55"/>
      <c r="BB114" s="55"/>
      <c r="BC114" s="55"/>
      <c r="BD114" s="57"/>
    </row>
    <row r="115" spans="1:56">
      <c r="A115" s="12" t="str">
        <f>Roster!A115</f>
        <v/>
      </c>
      <c r="B115" s="28">
        <f>Roster!C115</f>
        <v>0</v>
      </c>
      <c r="C115" s="55"/>
      <c r="D115" s="56"/>
      <c r="E115" s="57"/>
      <c r="F115" s="57"/>
      <c r="G115" s="57"/>
      <c r="H115" s="57"/>
      <c r="I115" s="57"/>
      <c r="J115" s="57"/>
      <c r="K115" s="45"/>
      <c r="L115" s="58"/>
      <c r="M115" s="56"/>
      <c r="N115" s="57"/>
      <c r="O115" s="57"/>
      <c r="P115" s="57"/>
      <c r="Q115" s="57"/>
      <c r="R115" s="57"/>
      <c r="S115" s="57"/>
      <c r="T115" s="45"/>
      <c r="U115" s="71"/>
      <c r="V115" s="57"/>
      <c r="W115" s="57"/>
      <c r="X115" s="57"/>
      <c r="Y115" s="57"/>
      <c r="Z115" s="57"/>
      <c r="AA115" s="57"/>
      <c r="AB115" s="57"/>
      <c r="AC115" s="57"/>
      <c r="AD115" s="71"/>
      <c r="AE115" s="57"/>
      <c r="AF115" s="57"/>
      <c r="AG115" s="57"/>
      <c r="AH115" s="57"/>
      <c r="AI115" s="57"/>
      <c r="AJ115" s="57"/>
      <c r="AK115" s="57"/>
      <c r="AL115" s="57"/>
      <c r="AM115" s="71"/>
      <c r="AN115" s="57"/>
      <c r="AO115" s="57"/>
      <c r="AP115" s="57"/>
      <c r="AQ115" s="57"/>
      <c r="AR115" s="57"/>
      <c r="AS115" s="57"/>
      <c r="AT115" s="57"/>
      <c r="AU115" s="57"/>
      <c r="AV115" s="71"/>
      <c r="AW115" s="57"/>
      <c r="AX115" s="55"/>
      <c r="AY115" s="55"/>
      <c r="AZ115" s="55"/>
      <c r="BA115" s="55"/>
      <c r="BB115" s="55"/>
      <c r="BC115" s="55"/>
      <c r="BD115" s="57"/>
    </row>
    <row r="116" spans="1:56">
      <c r="A116" s="12" t="str">
        <f>Roster!A116</f>
        <v/>
      </c>
      <c r="B116" s="28">
        <f>Roster!C116</f>
        <v>0</v>
      </c>
      <c r="C116" s="55"/>
      <c r="D116" s="56"/>
      <c r="E116" s="57"/>
      <c r="F116" s="57"/>
      <c r="G116" s="57"/>
      <c r="H116" s="57"/>
      <c r="I116" s="57"/>
      <c r="J116" s="57"/>
      <c r="K116" s="45"/>
      <c r="L116" s="58"/>
      <c r="M116" s="56"/>
      <c r="N116" s="57"/>
      <c r="O116" s="57"/>
      <c r="P116" s="57"/>
      <c r="Q116" s="57"/>
      <c r="R116" s="57"/>
      <c r="S116" s="57"/>
      <c r="T116" s="45"/>
      <c r="U116" s="71"/>
      <c r="V116" s="57"/>
      <c r="W116" s="57"/>
      <c r="X116" s="57"/>
      <c r="Y116" s="57"/>
      <c r="Z116" s="57"/>
      <c r="AA116" s="57"/>
      <c r="AB116" s="57"/>
      <c r="AC116" s="57"/>
      <c r="AD116" s="71"/>
      <c r="AE116" s="57"/>
      <c r="AF116" s="57"/>
      <c r="AG116" s="57"/>
      <c r="AH116" s="57"/>
      <c r="AI116" s="57"/>
      <c r="AJ116" s="57"/>
      <c r="AK116" s="57"/>
      <c r="AL116" s="57"/>
      <c r="AM116" s="71"/>
      <c r="AN116" s="57"/>
      <c r="AO116" s="57"/>
      <c r="AP116" s="57"/>
      <c r="AQ116" s="57"/>
      <c r="AR116" s="57"/>
      <c r="AS116" s="57"/>
      <c r="AT116" s="57"/>
      <c r="AU116" s="57"/>
      <c r="AV116" s="71"/>
      <c r="AW116" s="57"/>
      <c r="AX116" s="55"/>
      <c r="AY116" s="55"/>
      <c r="AZ116" s="55"/>
      <c r="BA116" s="55"/>
      <c r="BB116" s="55"/>
      <c r="BC116" s="55"/>
      <c r="BD116" s="57"/>
    </row>
    <row r="117" spans="1:56">
      <c r="A117" s="12" t="str">
        <f>Roster!A117</f>
        <v/>
      </c>
      <c r="B117" s="28">
        <f>Roster!C117</f>
        <v>0</v>
      </c>
      <c r="C117" s="55"/>
      <c r="D117" s="56"/>
      <c r="E117" s="57"/>
      <c r="F117" s="57"/>
      <c r="G117" s="57"/>
      <c r="H117" s="57"/>
      <c r="I117" s="57"/>
      <c r="J117" s="57"/>
      <c r="K117" s="45"/>
      <c r="L117" s="58"/>
      <c r="M117" s="56"/>
      <c r="N117" s="57"/>
      <c r="O117" s="57"/>
      <c r="P117" s="57"/>
      <c r="Q117" s="57"/>
      <c r="R117" s="57"/>
      <c r="S117" s="57"/>
      <c r="T117" s="45"/>
      <c r="U117" s="71"/>
      <c r="V117" s="57"/>
      <c r="W117" s="57"/>
      <c r="X117" s="57"/>
      <c r="Y117" s="57"/>
      <c r="Z117" s="57"/>
      <c r="AA117" s="57"/>
      <c r="AB117" s="57"/>
      <c r="AC117" s="57"/>
      <c r="AD117" s="71"/>
      <c r="AE117" s="57"/>
      <c r="AF117" s="57"/>
      <c r="AG117" s="57"/>
      <c r="AH117" s="57"/>
      <c r="AI117" s="57"/>
      <c r="AJ117" s="57"/>
      <c r="AK117" s="57"/>
      <c r="AL117" s="57"/>
      <c r="AM117" s="71"/>
      <c r="AN117" s="57"/>
      <c r="AO117" s="57"/>
      <c r="AP117" s="57"/>
      <c r="AQ117" s="57"/>
      <c r="AR117" s="57"/>
      <c r="AS117" s="57"/>
      <c r="AT117" s="57"/>
      <c r="AU117" s="57"/>
      <c r="AV117" s="71"/>
      <c r="AW117" s="57"/>
      <c r="AX117" s="55"/>
      <c r="AY117" s="55"/>
      <c r="AZ117" s="55"/>
      <c r="BA117" s="55"/>
      <c r="BB117" s="55"/>
      <c r="BC117" s="55"/>
      <c r="BD117" s="57"/>
    </row>
    <row r="118" spans="1:56">
      <c r="A118" s="12" t="str">
        <f>Roster!A118</f>
        <v/>
      </c>
      <c r="B118" s="28">
        <f>Roster!C118</f>
        <v>0</v>
      </c>
      <c r="C118" s="55"/>
      <c r="D118" s="56"/>
      <c r="E118" s="57"/>
      <c r="F118" s="57"/>
      <c r="G118" s="57"/>
      <c r="H118" s="57"/>
      <c r="I118" s="57"/>
      <c r="J118" s="57"/>
      <c r="K118" s="45"/>
      <c r="L118" s="58"/>
      <c r="M118" s="56"/>
      <c r="N118" s="57"/>
      <c r="O118" s="57"/>
      <c r="P118" s="57"/>
      <c r="Q118" s="57"/>
      <c r="R118" s="57"/>
      <c r="S118" s="57"/>
      <c r="T118" s="45"/>
      <c r="U118" s="71"/>
      <c r="V118" s="57"/>
      <c r="W118" s="57"/>
      <c r="X118" s="57"/>
      <c r="Y118" s="57"/>
      <c r="Z118" s="57"/>
      <c r="AA118" s="57"/>
      <c r="AB118" s="57"/>
      <c r="AC118" s="57"/>
      <c r="AD118" s="71"/>
      <c r="AE118" s="57"/>
      <c r="AF118" s="57"/>
      <c r="AG118" s="57"/>
      <c r="AH118" s="57"/>
      <c r="AI118" s="57"/>
      <c r="AJ118" s="57"/>
      <c r="AK118" s="57"/>
      <c r="AL118" s="57"/>
      <c r="AM118" s="71"/>
      <c r="AN118" s="57"/>
      <c r="AO118" s="57"/>
      <c r="AP118" s="57"/>
      <c r="AQ118" s="57"/>
      <c r="AR118" s="57"/>
      <c r="AS118" s="57"/>
      <c r="AT118" s="57"/>
      <c r="AU118" s="57"/>
      <c r="AV118" s="71"/>
      <c r="AW118" s="57"/>
      <c r="AX118" s="55"/>
      <c r="AY118" s="55"/>
      <c r="AZ118" s="55"/>
      <c r="BA118" s="55"/>
      <c r="BB118" s="55"/>
      <c r="BC118" s="55"/>
      <c r="BD118" s="57"/>
    </row>
    <row r="119" spans="1:56">
      <c r="A119" s="12" t="str">
        <f>Roster!A119</f>
        <v/>
      </c>
      <c r="B119" s="28">
        <f>Roster!C119</f>
        <v>0</v>
      </c>
      <c r="C119" s="55"/>
      <c r="D119" s="56"/>
      <c r="E119" s="57"/>
      <c r="F119" s="57"/>
      <c r="G119" s="57"/>
      <c r="H119" s="57"/>
      <c r="I119" s="57"/>
      <c r="J119" s="57"/>
      <c r="K119" s="45"/>
      <c r="L119" s="58"/>
      <c r="M119" s="56"/>
      <c r="N119" s="57"/>
      <c r="O119" s="57"/>
      <c r="P119" s="57"/>
      <c r="Q119" s="57"/>
      <c r="R119" s="57"/>
      <c r="S119" s="57"/>
      <c r="T119" s="45"/>
      <c r="U119" s="71"/>
      <c r="V119" s="57"/>
      <c r="W119" s="57"/>
      <c r="X119" s="57"/>
      <c r="Y119" s="57"/>
      <c r="Z119" s="57"/>
      <c r="AA119" s="57"/>
      <c r="AB119" s="57"/>
      <c r="AC119" s="57"/>
      <c r="AD119" s="71"/>
      <c r="AE119" s="57"/>
      <c r="AF119" s="57"/>
      <c r="AG119" s="57"/>
      <c r="AH119" s="57"/>
      <c r="AI119" s="57"/>
      <c r="AJ119" s="57"/>
      <c r="AK119" s="57"/>
      <c r="AL119" s="57"/>
      <c r="AM119" s="71"/>
      <c r="AN119" s="57"/>
      <c r="AO119" s="57"/>
      <c r="AP119" s="57"/>
      <c r="AQ119" s="57"/>
      <c r="AR119" s="57"/>
      <c r="AS119" s="57"/>
      <c r="AT119" s="57"/>
      <c r="AU119" s="57"/>
      <c r="AV119" s="71"/>
      <c r="AW119" s="57"/>
      <c r="AX119" s="55"/>
      <c r="AY119" s="55"/>
      <c r="AZ119" s="55"/>
      <c r="BA119" s="55"/>
      <c r="BB119" s="55"/>
      <c r="BC119" s="55"/>
      <c r="BD119" s="57"/>
    </row>
    <row r="120" spans="1:56">
      <c r="A120" s="12" t="str">
        <f>Roster!A120</f>
        <v/>
      </c>
      <c r="B120" s="28">
        <f>Roster!C120</f>
        <v>0</v>
      </c>
      <c r="C120" s="55"/>
      <c r="D120" s="56"/>
      <c r="E120" s="57"/>
      <c r="F120" s="57"/>
      <c r="G120" s="57"/>
      <c r="H120" s="57"/>
      <c r="I120" s="57"/>
      <c r="J120" s="57"/>
      <c r="K120" s="45"/>
      <c r="L120" s="58"/>
      <c r="M120" s="56"/>
      <c r="N120" s="57"/>
      <c r="O120" s="57"/>
      <c r="P120" s="57"/>
      <c r="Q120" s="57"/>
      <c r="R120" s="57"/>
      <c r="S120" s="57"/>
      <c r="T120" s="45"/>
      <c r="U120" s="71"/>
      <c r="V120" s="57"/>
      <c r="W120" s="57"/>
      <c r="X120" s="57"/>
      <c r="Y120" s="57"/>
      <c r="Z120" s="57"/>
      <c r="AA120" s="57"/>
      <c r="AB120" s="57"/>
      <c r="AC120" s="57"/>
      <c r="AD120" s="71"/>
      <c r="AE120" s="57"/>
      <c r="AF120" s="57"/>
      <c r="AG120" s="57"/>
      <c r="AH120" s="57"/>
      <c r="AI120" s="57"/>
      <c r="AJ120" s="57"/>
      <c r="AK120" s="57"/>
      <c r="AL120" s="57"/>
      <c r="AM120" s="71"/>
      <c r="AN120" s="57"/>
      <c r="AO120" s="57"/>
      <c r="AP120" s="57"/>
      <c r="AQ120" s="57"/>
      <c r="AR120" s="57"/>
      <c r="AS120" s="57"/>
      <c r="AT120" s="57"/>
      <c r="AU120" s="57"/>
      <c r="AV120" s="71"/>
      <c r="AW120" s="57"/>
      <c r="AX120" s="55"/>
      <c r="AY120" s="55"/>
      <c r="AZ120" s="55"/>
      <c r="BA120" s="55"/>
      <c r="BB120" s="55"/>
      <c r="BC120" s="55"/>
      <c r="BD120" s="57"/>
    </row>
    <row r="121" spans="1:56">
      <c r="A121" s="12" t="str">
        <f>Roster!A121</f>
        <v/>
      </c>
      <c r="B121" s="28">
        <f>Roster!C121</f>
        <v>0</v>
      </c>
      <c r="C121" s="55"/>
      <c r="D121" s="56"/>
      <c r="E121" s="57"/>
      <c r="F121" s="57"/>
      <c r="G121" s="57"/>
      <c r="H121" s="57"/>
      <c r="I121" s="57"/>
      <c r="J121" s="57"/>
      <c r="K121" s="45"/>
      <c r="L121" s="58"/>
      <c r="M121" s="56"/>
      <c r="N121" s="57"/>
      <c r="O121" s="57"/>
      <c r="P121" s="57"/>
      <c r="Q121" s="57"/>
      <c r="R121" s="57"/>
      <c r="S121" s="57"/>
      <c r="T121" s="45"/>
      <c r="U121" s="71"/>
      <c r="V121" s="57"/>
      <c r="W121" s="57"/>
      <c r="X121" s="57"/>
      <c r="Y121" s="57"/>
      <c r="Z121" s="57"/>
      <c r="AA121" s="57"/>
      <c r="AB121" s="57"/>
      <c r="AC121" s="57"/>
      <c r="AD121" s="71"/>
      <c r="AE121" s="57"/>
      <c r="AF121" s="57"/>
      <c r="AG121" s="57"/>
      <c r="AH121" s="57"/>
      <c r="AI121" s="57"/>
      <c r="AJ121" s="57"/>
      <c r="AK121" s="57"/>
      <c r="AL121" s="57"/>
      <c r="AM121" s="71"/>
      <c r="AN121" s="57"/>
      <c r="AO121" s="57"/>
      <c r="AP121" s="57"/>
      <c r="AQ121" s="57"/>
      <c r="AR121" s="57"/>
      <c r="AS121" s="57"/>
      <c r="AT121" s="57"/>
      <c r="AU121" s="57"/>
      <c r="AV121" s="71"/>
      <c r="AW121" s="57"/>
      <c r="AX121" s="55"/>
      <c r="AY121" s="55"/>
      <c r="AZ121" s="55"/>
      <c r="BA121" s="55"/>
      <c r="BB121" s="55"/>
      <c r="BC121" s="55"/>
      <c r="BD121" s="57"/>
    </row>
    <row r="122" spans="1:56">
      <c r="A122" s="12" t="str">
        <f>Roster!A122</f>
        <v/>
      </c>
      <c r="B122" s="28">
        <f>Roster!C122</f>
        <v>0</v>
      </c>
      <c r="C122" s="55"/>
      <c r="D122" s="56"/>
      <c r="E122" s="57"/>
      <c r="F122" s="57"/>
      <c r="G122" s="57"/>
      <c r="H122" s="57"/>
      <c r="I122" s="57"/>
      <c r="J122" s="57"/>
      <c r="K122" s="45"/>
      <c r="L122" s="58"/>
      <c r="M122" s="56"/>
      <c r="N122" s="57"/>
      <c r="O122" s="57"/>
      <c r="P122" s="57"/>
      <c r="Q122" s="57"/>
      <c r="R122" s="57"/>
      <c r="S122" s="57"/>
      <c r="T122" s="45"/>
      <c r="U122" s="71"/>
      <c r="V122" s="57"/>
      <c r="W122" s="57"/>
      <c r="X122" s="57"/>
      <c r="Y122" s="57"/>
      <c r="Z122" s="57"/>
      <c r="AA122" s="57"/>
      <c r="AB122" s="57"/>
      <c r="AC122" s="57"/>
      <c r="AD122" s="71"/>
      <c r="AE122" s="57"/>
      <c r="AF122" s="57"/>
      <c r="AG122" s="57"/>
      <c r="AH122" s="57"/>
      <c r="AI122" s="57"/>
      <c r="AJ122" s="57"/>
      <c r="AK122" s="57"/>
      <c r="AL122" s="57"/>
      <c r="AM122" s="71"/>
      <c r="AN122" s="57"/>
      <c r="AO122" s="57"/>
      <c r="AP122" s="57"/>
      <c r="AQ122" s="57"/>
      <c r="AR122" s="57"/>
      <c r="AS122" s="57"/>
      <c r="AT122" s="57"/>
      <c r="AU122" s="57"/>
      <c r="AV122" s="71"/>
      <c r="AW122" s="57"/>
      <c r="AX122" s="55"/>
      <c r="AY122" s="55"/>
      <c r="AZ122" s="55"/>
      <c r="BA122" s="55"/>
      <c r="BB122" s="55"/>
      <c r="BC122" s="55"/>
      <c r="BD122" s="57"/>
    </row>
    <row r="123" spans="1:56">
      <c r="A123" s="12" t="str">
        <f>Roster!A123</f>
        <v/>
      </c>
      <c r="B123" s="28">
        <f>Roster!C123</f>
        <v>0</v>
      </c>
      <c r="C123" s="55"/>
      <c r="D123" s="56"/>
      <c r="E123" s="57"/>
      <c r="F123" s="57"/>
      <c r="G123" s="57"/>
      <c r="H123" s="57"/>
      <c r="I123" s="57"/>
      <c r="J123" s="57"/>
      <c r="K123" s="45"/>
      <c r="L123" s="58"/>
      <c r="M123" s="56"/>
      <c r="N123" s="57"/>
      <c r="O123" s="57"/>
      <c r="P123" s="57"/>
      <c r="Q123" s="57"/>
      <c r="R123" s="57"/>
      <c r="S123" s="57"/>
      <c r="T123" s="45"/>
      <c r="U123" s="71"/>
      <c r="V123" s="57"/>
      <c r="W123" s="57"/>
      <c r="X123" s="57"/>
      <c r="Y123" s="57"/>
      <c r="Z123" s="57"/>
      <c r="AA123" s="57"/>
      <c r="AB123" s="57"/>
      <c r="AC123" s="57"/>
      <c r="AD123" s="71"/>
      <c r="AE123" s="57"/>
      <c r="AF123" s="57"/>
      <c r="AG123" s="57"/>
      <c r="AH123" s="57"/>
      <c r="AI123" s="57"/>
      <c r="AJ123" s="57"/>
      <c r="AK123" s="57"/>
      <c r="AL123" s="57"/>
      <c r="AM123" s="71"/>
      <c r="AN123" s="57"/>
      <c r="AO123" s="57"/>
      <c r="AP123" s="57"/>
      <c r="AQ123" s="57"/>
      <c r="AR123" s="57"/>
      <c r="AS123" s="57"/>
      <c r="AT123" s="57"/>
      <c r="AU123" s="57"/>
      <c r="AV123" s="71"/>
      <c r="AW123" s="57"/>
      <c r="AX123" s="55"/>
      <c r="AY123" s="55"/>
      <c r="AZ123" s="55"/>
      <c r="BA123" s="55"/>
      <c r="BB123" s="55"/>
      <c r="BC123" s="55"/>
      <c r="BD123" s="57"/>
    </row>
    <row r="124" spans="1:56">
      <c r="A124" s="12" t="str">
        <f>Roster!A124</f>
        <v/>
      </c>
      <c r="B124" s="28">
        <f>Roster!C124</f>
        <v>0</v>
      </c>
      <c r="C124" s="55"/>
      <c r="D124" s="56"/>
      <c r="E124" s="57"/>
      <c r="F124" s="57"/>
      <c r="G124" s="57"/>
      <c r="H124" s="57"/>
      <c r="I124" s="57"/>
      <c r="J124" s="57"/>
      <c r="K124" s="45"/>
      <c r="L124" s="58"/>
      <c r="M124" s="56"/>
      <c r="N124" s="57"/>
      <c r="O124" s="57"/>
      <c r="P124" s="57"/>
      <c r="Q124" s="57"/>
      <c r="R124" s="57"/>
      <c r="S124" s="57"/>
      <c r="T124" s="45"/>
      <c r="U124" s="71"/>
      <c r="V124" s="57"/>
      <c r="W124" s="57"/>
      <c r="X124" s="57"/>
      <c r="Y124" s="57"/>
      <c r="Z124" s="57"/>
      <c r="AA124" s="57"/>
      <c r="AB124" s="57"/>
      <c r="AC124" s="57"/>
      <c r="AD124" s="71"/>
      <c r="AE124" s="57"/>
      <c r="AF124" s="57"/>
      <c r="AG124" s="57"/>
      <c r="AH124" s="57"/>
      <c r="AI124" s="57"/>
      <c r="AJ124" s="57"/>
      <c r="AK124" s="57"/>
      <c r="AL124" s="57"/>
      <c r="AM124" s="71"/>
      <c r="AN124" s="57"/>
      <c r="AO124" s="57"/>
      <c r="AP124" s="57"/>
      <c r="AQ124" s="57"/>
      <c r="AR124" s="57"/>
      <c r="AS124" s="57"/>
      <c r="AT124" s="57"/>
      <c r="AU124" s="57"/>
      <c r="AV124" s="71"/>
      <c r="AW124" s="57"/>
      <c r="AX124" s="55"/>
      <c r="AY124" s="55"/>
      <c r="AZ124" s="55"/>
      <c r="BA124" s="55"/>
      <c r="BB124" s="55"/>
      <c r="BC124" s="55"/>
      <c r="BD124" s="57"/>
    </row>
    <row r="125" spans="1:56">
      <c r="A125" s="12" t="str">
        <f>Roster!A125</f>
        <v/>
      </c>
      <c r="B125" s="28">
        <f>Roster!C125</f>
        <v>0</v>
      </c>
      <c r="C125" s="55"/>
      <c r="D125" s="56"/>
      <c r="E125" s="57"/>
      <c r="F125" s="57"/>
      <c r="G125" s="57"/>
      <c r="H125" s="57"/>
      <c r="I125" s="57"/>
      <c r="J125" s="57"/>
      <c r="K125" s="45"/>
      <c r="L125" s="58"/>
      <c r="M125" s="56"/>
      <c r="N125" s="57"/>
      <c r="O125" s="57"/>
      <c r="P125" s="57"/>
      <c r="Q125" s="57"/>
      <c r="R125" s="57"/>
      <c r="S125" s="57"/>
      <c r="T125" s="45"/>
      <c r="U125" s="71"/>
      <c r="V125" s="57"/>
      <c r="W125" s="57"/>
      <c r="X125" s="57"/>
      <c r="Y125" s="57"/>
      <c r="Z125" s="57"/>
      <c r="AA125" s="57"/>
      <c r="AB125" s="57"/>
      <c r="AC125" s="57"/>
      <c r="AD125" s="71"/>
      <c r="AE125" s="57"/>
      <c r="AF125" s="57"/>
      <c r="AG125" s="57"/>
      <c r="AH125" s="57"/>
      <c r="AI125" s="57"/>
      <c r="AJ125" s="57"/>
      <c r="AK125" s="57"/>
      <c r="AL125" s="57"/>
      <c r="AM125" s="71"/>
      <c r="AN125" s="57"/>
      <c r="AO125" s="57"/>
      <c r="AP125" s="57"/>
      <c r="AQ125" s="57"/>
      <c r="AR125" s="57"/>
      <c r="AS125" s="57"/>
      <c r="AT125" s="57"/>
      <c r="AU125" s="57"/>
      <c r="AV125" s="71"/>
      <c r="AW125" s="57"/>
      <c r="AX125" s="55"/>
      <c r="AY125" s="55"/>
      <c r="AZ125" s="55"/>
      <c r="BA125" s="55"/>
      <c r="BB125" s="55"/>
      <c r="BC125" s="55"/>
      <c r="BD125" s="57"/>
    </row>
    <row r="126" spans="1:56">
      <c r="A126" s="12" t="str">
        <f>Roster!A126</f>
        <v/>
      </c>
      <c r="B126" s="28">
        <f>Roster!C126</f>
        <v>0</v>
      </c>
      <c r="C126" s="55"/>
      <c r="D126" s="56"/>
      <c r="E126" s="57"/>
      <c r="F126" s="57"/>
      <c r="G126" s="57"/>
      <c r="H126" s="57"/>
      <c r="I126" s="57"/>
      <c r="J126" s="57"/>
      <c r="K126" s="45"/>
      <c r="L126" s="58"/>
      <c r="M126" s="56"/>
      <c r="N126" s="57"/>
      <c r="O126" s="57"/>
      <c r="P126" s="57"/>
      <c r="Q126" s="57"/>
      <c r="R126" s="57"/>
      <c r="S126" s="57"/>
      <c r="T126" s="45"/>
      <c r="U126" s="71"/>
      <c r="V126" s="57"/>
      <c r="W126" s="57"/>
      <c r="X126" s="57"/>
      <c r="Y126" s="57"/>
      <c r="Z126" s="57"/>
      <c r="AA126" s="57"/>
      <c r="AB126" s="57"/>
      <c r="AC126" s="57"/>
      <c r="AD126" s="71"/>
      <c r="AE126" s="57"/>
      <c r="AF126" s="57"/>
      <c r="AG126" s="57"/>
      <c r="AH126" s="57"/>
      <c r="AI126" s="57"/>
      <c r="AJ126" s="57"/>
      <c r="AK126" s="57"/>
      <c r="AL126" s="57"/>
      <c r="AM126" s="71"/>
      <c r="AN126" s="57"/>
      <c r="AO126" s="57"/>
      <c r="AP126" s="57"/>
      <c r="AQ126" s="57"/>
      <c r="AR126" s="57"/>
      <c r="AS126" s="57"/>
      <c r="AT126" s="57"/>
      <c r="AU126" s="57"/>
      <c r="AV126" s="71"/>
      <c r="AW126" s="57"/>
      <c r="AX126" s="55"/>
      <c r="AY126" s="55"/>
      <c r="AZ126" s="55"/>
      <c r="BA126" s="55"/>
      <c r="BB126" s="55"/>
      <c r="BC126" s="55"/>
      <c r="BD126" s="57"/>
    </row>
    <row r="127" spans="1:56">
      <c r="A127" s="12" t="str">
        <f>Roster!A127</f>
        <v/>
      </c>
      <c r="B127" s="28">
        <f>Roster!C127</f>
        <v>0</v>
      </c>
      <c r="C127" s="55"/>
      <c r="D127" s="56"/>
      <c r="E127" s="57"/>
      <c r="F127" s="57"/>
      <c r="G127" s="57"/>
      <c r="H127" s="57"/>
      <c r="I127" s="57"/>
      <c r="J127" s="57"/>
      <c r="K127" s="45"/>
      <c r="L127" s="58"/>
      <c r="M127" s="56"/>
      <c r="N127" s="57"/>
      <c r="O127" s="57"/>
      <c r="P127" s="57"/>
      <c r="Q127" s="57"/>
      <c r="R127" s="57"/>
      <c r="S127" s="57"/>
      <c r="T127" s="45"/>
      <c r="U127" s="71"/>
      <c r="V127" s="57"/>
      <c r="W127" s="57"/>
      <c r="X127" s="57"/>
      <c r="Y127" s="57"/>
      <c r="Z127" s="57"/>
      <c r="AA127" s="57"/>
      <c r="AB127" s="57"/>
      <c r="AC127" s="57"/>
      <c r="AD127" s="71"/>
      <c r="AE127" s="57"/>
      <c r="AF127" s="57"/>
      <c r="AG127" s="57"/>
      <c r="AH127" s="57"/>
      <c r="AI127" s="57"/>
      <c r="AJ127" s="57"/>
      <c r="AK127" s="57"/>
      <c r="AL127" s="57"/>
      <c r="AM127" s="71"/>
      <c r="AN127" s="57"/>
      <c r="AO127" s="57"/>
      <c r="AP127" s="57"/>
      <c r="AQ127" s="57"/>
      <c r="AR127" s="57"/>
      <c r="AS127" s="57"/>
      <c r="AT127" s="57"/>
      <c r="AU127" s="57"/>
      <c r="AV127" s="71"/>
      <c r="AW127" s="57"/>
      <c r="AX127" s="55"/>
      <c r="AY127" s="55"/>
      <c r="AZ127" s="55"/>
      <c r="BA127" s="55"/>
      <c r="BB127" s="55"/>
      <c r="BC127" s="55"/>
      <c r="BD127" s="57"/>
    </row>
    <row r="128" spans="1:56">
      <c r="A128" s="12" t="str">
        <f>Roster!A128</f>
        <v/>
      </c>
      <c r="B128" s="28">
        <f>Roster!C128</f>
        <v>0</v>
      </c>
      <c r="C128" s="55"/>
      <c r="D128" s="56"/>
      <c r="E128" s="57"/>
      <c r="F128" s="57"/>
      <c r="G128" s="57"/>
      <c r="H128" s="57"/>
      <c r="I128" s="57"/>
      <c r="J128" s="57"/>
      <c r="K128" s="45"/>
      <c r="L128" s="58"/>
      <c r="M128" s="56"/>
      <c r="N128" s="57"/>
      <c r="O128" s="57"/>
      <c r="P128" s="57"/>
      <c r="Q128" s="57"/>
      <c r="R128" s="57"/>
      <c r="S128" s="57"/>
      <c r="T128" s="45"/>
      <c r="U128" s="71"/>
      <c r="V128" s="57"/>
      <c r="W128" s="57"/>
      <c r="X128" s="57"/>
      <c r="Y128" s="57"/>
      <c r="Z128" s="57"/>
      <c r="AA128" s="57"/>
      <c r="AB128" s="57"/>
      <c r="AC128" s="57"/>
      <c r="AD128" s="71"/>
      <c r="AE128" s="57"/>
      <c r="AF128" s="57"/>
      <c r="AG128" s="57"/>
      <c r="AH128" s="57"/>
      <c r="AI128" s="57"/>
      <c r="AJ128" s="57"/>
      <c r="AK128" s="57"/>
      <c r="AL128" s="57"/>
      <c r="AM128" s="71"/>
      <c r="AN128" s="57"/>
      <c r="AO128" s="57"/>
      <c r="AP128" s="57"/>
      <c r="AQ128" s="57"/>
      <c r="AR128" s="57"/>
      <c r="AS128" s="57"/>
      <c r="AT128" s="57"/>
      <c r="AU128" s="57"/>
      <c r="AV128" s="71"/>
      <c r="AW128" s="57"/>
      <c r="AX128" s="55"/>
      <c r="AY128" s="55"/>
      <c r="AZ128" s="55"/>
      <c r="BA128" s="55"/>
      <c r="BB128" s="55"/>
      <c r="BC128" s="55"/>
      <c r="BD128" s="57"/>
    </row>
    <row r="129" spans="1:56">
      <c r="A129" s="12" t="str">
        <f>Roster!A129</f>
        <v/>
      </c>
      <c r="B129" s="28">
        <f>Roster!C129</f>
        <v>0</v>
      </c>
      <c r="C129" s="55"/>
      <c r="D129" s="56"/>
      <c r="E129" s="57"/>
      <c r="F129" s="57"/>
      <c r="G129" s="57"/>
      <c r="H129" s="57"/>
      <c r="I129" s="57"/>
      <c r="J129" s="57"/>
      <c r="K129" s="45"/>
      <c r="L129" s="58"/>
      <c r="M129" s="56"/>
      <c r="N129" s="57"/>
      <c r="O129" s="57"/>
      <c r="P129" s="57"/>
      <c r="Q129" s="57"/>
      <c r="R129" s="57"/>
      <c r="S129" s="57"/>
      <c r="T129" s="45"/>
      <c r="U129" s="71"/>
      <c r="V129" s="57"/>
      <c r="W129" s="57"/>
      <c r="X129" s="57"/>
      <c r="Y129" s="57"/>
      <c r="Z129" s="57"/>
      <c r="AA129" s="57"/>
      <c r="AB129" s="57"/>
      <c r="AC129" s="57"/>
      <c r="AD129" s="71"/>
      <c r="AE129" s="57"/>
      <c r="AF129" s="57"/>
      <c r="AG129" s="57"/>
      <c r="AH129" s="57"/>
      <c r="AI129" s="57"/>
      <c r="AJ129" s="57"/>
      <c r="AK129" s="57"/>
      <c r="AL129" s="57"/>
      <c r="AM129" s="71"/>
      <c r="AN129" s="57"/>
      <c r="AO129" s="57"/>
      <c r="AP129" s="57"/>
      <c r="AQ129" s="57"/>
      <c r="AR129" s="57"/>
      <c r="AS129" s="57"/>
      <c r="AT129" s="57"/>
      <c r="AU129" s="57"/>
      <c r="AV129" s="71"/>
      <c r="AW129" s="57"/>
      <c r="AX129" s="55"/>
      <c r="AY129" s="55"/>
      <c r="AZ129" s="55"/>
      <c r="BA129" s="55"/>
      <c r="BB129" s="55"/>
      <c r="BC129" s="55"/>
      <c r="BD129" s="57"/>
    </row>
    <row r="130" spans="1:56">
      <c r="A130" s="12" t="str">
        <f>Roster!A130</f>
        <v/>
      </c>
      <c r="B130" s="28">
        <f>Roster!C130</f>
        <v>0</v>
      </c>
      <c r="C130" s="55"/>
      <c r="D130" s="56"/>
      <c r="E130" s="57"/>
      <c r="F130" s="57"/>
      <c r="G130" s="57"/>
      <c r="H130" s="57"/>
      <c r="I130" s="57"/>
      <c r="J130" s="57"/>
      <c r="K130" s="45"/>
      <c r="L130" s="58"/>
      <c r="M130" s="56"/>
      <c r="N130" s="57"/>
      <c r="O130" s="57"/>
      <c r="P130" s="57"/>
      <c r="Q130" s="57"/>
      <c r="R130" s="57"/>
      <c r="S130" s="57"/>
      <c r="T130" s="45"/>
      <c r="U130" s="71"/>
      <c r="V130" s="57"/>
      <c r="W130" s="57"/>
      <c r="X130" s="57"/>
      <c r="Y130" s="57"/>
      <c r="Z130" s="57"/>
      <c r="AA130" s="57"/>
      <c r="AB130" s="57"/>
      <c r="AC130" s="57"/>
      <c r="AD130" s="71"/>
      <c r="AE130" s="57"/>
      <c r="AF130" s="57"/>
      <c r="AG130" s="57"/>
      <c r="AH130" s="57"/>
      <c r="AI130" s="57"/>
      <c r="AJ130" s="57"/>
      <c r="AK130" s="57"/>
      <c r="AL130" s="57"/>
      <c r="AM130" s="71"/>
      <c r="AN130" s="57"/>
      <c r="AO130" s="57"/>
      <c r="AP130" s="57"/>
      <c r="AQ130" s="57"/>
      <c r="AR130" s="57"/>
      <c r="AS130" s="57"/>
      <c r="AT130" s="57"/>
      <c r="AU130" s="57"/>
      <c r="AV130" s="71"/>
      <c r="AW130" s="57"/>
      <c r="AX130" s="55"/>
      <c r="AY130" s="55"/>
      <c r="AZ130" s="55"/>
      <c r="BA130" s="55"/>
      <c r="BB130" s="55"/>
      <c r="BC130" s="55"/>
      <c r="BD130" s="57"/>
    </row>
    <row r="131" spans="1:56">
      <c r="A131" s="12" t="str">
        <f>Roster!A131</f>
        <v/>
      </c>
      <c r="B131" s="28">
        <f>Roster!C131</f>
        <v>0</v>
      </c>
      <c r="C131" s="55"/>
      <c r="D131" s="56"/>
      <c r="E131" s="57"/>
      <c r="F131" s="57"/>
      <c r="G131" s="57"/>
      <c r="H131" s="57"/>
      <c r="I131" s="57"/>
      <c r="J131" s="57"/>
      <c r="K131" s="45"/>
      <c r="L131" s="58"/>
      <c r="M131" s="56"/>
      <c r="N131" s="57"/>
      <c r="O131" s="57"/>
      <c r="P131" s="57"/>
      <c r="Q131" s="57"/>
      <c r="R131" s="57"/>
      <c r="S131" s="57"/>
      <c r="T131" s="45"/>
      <c r="U131" s="71"/>
      <c r="V131" s="57"/>
      <c r="W131" s="57"/>
      <c r="X131" s="57"/>
      <c r="Y131" s="57"/>
      <c r="Z131" s="57"/>
      <c r="AA131" s="57"/>
      <c r="AB131" s="57"/>
      <c r="AC131" s="57"/>
      <c r="AD131" s="71"/>
      <c r="AE131" s="57"/>
      <c r="AF131" s="57"/>
      <c r="AG131" s="57"/>
      <c r="AH131" s="57"/>
      <c r="AI131" s="57"/>
      <c r="AJ131" s="57"/>
      <c r="AK131" s="57"/>
      <c r="AL131" s="57"/>
      <c r="AM131" s="71"/>
      <c r="AN131" s="57"/>
      <c r="AO131" s="57"/>
      <c r="AP131" s="57"/>
      <c r="AQ131" s="57"/>
      <c r="AR131" s="57"/>
      <c r="AS131" s="57"/>
      <c r="AT131" s="57"/>
      <c r="AU131" s="57"/>
      <c r="AV131" s="71"/>
      <c r="AW131" s="57"/>
      <c r="AX131" s="55"/>
      <c r="AY131" s="55"/>
      <c r="AZ131" s="55"/>
      <c r="BA131" s="55"/>
      <c r="BB131" s="55"/>
      <c r="BC131" s="55"/>
      <c r="BD131" s="57"/>
    </row>
    <row r="132" spans="1:56">
      <c r="A132" s="12" t="str">
        <f>Roster!A132</f>
        <v/>
      </c>
      <c r="B132" s="28">
        <f>Roster!C132</f>
        <v>0</v>
      </c>
      <c r="C132" s="55"/>
      <c r="D132" s="56"/>
      <c r="E132" s="57"/>
      <c r="F132" s="57"/>
      <c r="G132" s="57"/>
      <c r="H132" s="57"/>
      <c r="I132" s="57"/>
      <c r="J132" s="57"/>
      <c r="K132" s="45"/>
      <c r="L132" s="58"/>
      <c r="M132" s="56"/>
      <c r="N132" s="57"/>
      <c r="O132" s="57"/>
      <c r="P132" s="57"/>
      <c r="Q132" s="57"/>
      <c r="R132" s="57"/>
      <c r="S132" s="57"/>
      <c r="T132" s="45"/>
      <c r="U132" s="71"/>
      <c r="V132" s="57"/>
      <c r="W132" s="57"/>
      <c r="X132" s="57"/>
      <c r="Y132" s="57"/>
      <c r="Z132" s="57"/>
      <c r="AA132" s="57"/>
      <c r="AB132" s="57"/>
      <c r="AC132" s="57"/>
      <c r="AD132" s="71"/>
      <c r="AE132" s="57"/>
      <c r="AF132" s="57"/>
      <c r="AG132" s="57"/>
      <c r="AH132" s="57"/>
      <c r="AI132" s="57"/>
      <c r="AJ132" s="57"/>
      <c r="AK132" s="57"/>
      <c r="AL132" s="57"/>
      <c r="AM132" s="71"/>
      <c r="AN132" s="57"/>
      <c r="AO132" s="57"/>
      <c r="AP132" s="57"/>
      <c r="AQ132" s="57"/>
      <c r="AR132" s="57"/>
      <c r="AS132" s="57"/>
      <c r="AT132" s="57"/>
      <c r="AU132" s="57"/>
      <c r="AV132" s="71"/>
      <c r="AW132" s="57"/>
      <c r="AX132" s="55"/>
      <c r="AY132" s="55"/>
      <c r="AZ132" s="55"/>
      <c r="BA132" s="55"/>
      <c r="BB132" s="55"/>
      <c r="BC132" s="55"/>
      <c r="BD132" s="57"/>
    </row>
    <row r="133" spans="1:56">
      <c r="A133" s="12" t="str">
        <f>Roster!A133</f>
        <v/>
      </c>
      <c r="B133" s="28">
        <f>Roster!C133</f>
        <v>0</v>
      </c>
      <c r="C133" s="55"/>
      <c r="D133" s="56"/>
      <c r="E133" s="57"/>
      <c r="F133" s="57"/>
      <c r="G133" s="57"/>
      <c r="H133" s="57"/>
      <c r="I133" s="57"/>
      <c r="J133" s="57"/>
      <c r="K133" s="45"/>
      <c r="L133" s="58"/>
      <c r="M133" s="56"/>
      <c r="N133" s="57"/>
      <c r="O133" s="57"/>
      <c r="P133" s="57"/>
      <c r="Q133" s="57"/>
      <c r="R133" s="57"/>
      <c r="S133" s="57"/>
      <c r="T133" s="45"/>
      <c r="U133" s="71"/>
      <c r="V133" s="57"/>
      <c r="W133" s="57"/>
      <c r="X133" s="57"/>
      <c r="Y133" s="57"/>
      <c r="Z133" s="57"/>
      <c r="AA133" s="57"/>
      <c r="AB133" s="57"/>
      <c r="AC133" s="57"/>
      <c r="AD133" s="71"/>
      <c r="AE133" s="57"/>
      <c r="AF133" s="57"/>
      <c r="AG133" s="57"/>
      <c r="AH133" s="57"/>
      <c r="AI133" s="57"/>
      <c r="AJ133" s="57"/>
      <c r="AK133" s="57"/>
      <c r="AL133" s="57"/>
      <c r="AM133" s="71"/>
      <c r="AN133" s="57"/>
      <c r="AO133" s="57"/>
      <c r="AP133" s="57"/>
      <c r="AQ133" s="57"/>
      <c r="AR133" s="57"/>
      <c r="AS133" s="57"/>
      <c r="AT133" s="57"/>
      <c r="AU133" s="57"/>
      <c r="AV133" s="71"/>
      <c r="AW133" s="57"/>
      <c r="AX133" s="55"/>
      <c r="AY133" s="55"/>
      <c r="AZ133" s="55"/>
      <c r="BA133" s="55"/>
      <c r="BB133" s="55"/>
      <c r="BC133" s="55"/>
      <c r="BD133" s="57"/>
    </row>
    <row r="134" spans="1:56">
      <c r="A134" s="12" t="str">
        <f>Roster!A134</f>
        <v/>
      </c>
      <c r="B134" s="28">
        <f>Roster!C134</f>
        <v>0</v>
      </c>
      <c r="C134" s="55"/>
      <c r="D134" s="56"/>
      <c r="E134" s="57"/>
      <c r="F134" s="57"/>
      <c r="G134" s="57"/>
      <c r="H134" s="57"/>
      <c r="I134" s="57"/>
      <c r="J134" s="57"/>
      <c r="K134" s="45"/>
      <c r="L134" s="58"/>
      <c r="M134" s="56"/>
      <c r="N134" s="57"/>
      <c r="O134" s="57"/>
      <c r="P134" s="57"/>
      <c r="Q134" s="57"/>
      <c r="R134" s="57"/>
      <c r="S134" s="57"/>
      <c r="T134" s="45"/>
      <c r="U134" s="71"/>
      <c r="V134" s="57"/>
      <c r="W134" s="57"/>
      <c r="X134" s="57"/>
      <c r="Y134" s="57"/>
      <c r="Z134" s="57"/>
      <c r="AA134" s="57"/>
      <c r="AB134" s="57"/>
      <c r="AC134" s="57"/>
      <c r="AD134" s="71"/>
      <c r="AE134" s="57"/>
      <c r="AF134" s="57"/>
      <c r="AG134" s="57"/>
      <c r="AH134" s="57"/>
      <c r="AI134" s="57"/>
      <c r="AJ134" s="57"/>
      <c r="AK134" s="57"/>
      <c r="AL134" s="57"/>
      <c r="AM134" s="71"/>
      <c r="AN134" s="57"/>
      <c r="AO134" s="57"/>
      <c r="AP134" s="57"/>
      <c r="AQ134" s="57"/>
      <c r="AR134" s="57"/>
      <c r="AS134" s="57"/>
      <c r="AT134" s="57"/>
      <c r="AU134" s="57"/>
      <c r="AV134" s="71"/>
      <c r="AW134" s="57"/>
      <c r="AX134" s="55"/>
      <c r="AY134" s="55"/>
      <c r="AZ134" s="55"/>
      <c r="BA134" s="55"/>
      <c r="BB134" s="55"/>
      <c r="BC134" s="55"/>
      <c r="BD134" s="57"/>
    </row>
    <row r="135" spans="1:56">
      <c r="A135" s="12" t="str">
        <f>Roster!A135</f>
        <v/>
      </c>
      <c r="B135" s="28">
        <f>Roster!C135</f>
        <v>0</v>
      </c>
      <c r="C135" s="55"/>
      <c r="D135" s="56"/>
      <c r="E135" s="57"/>
      <c r="F135" s="57"/>
      <c r="G135" s="57"/>
      <c r="H135" s="57"/>
      <c r="I135" s="57"/>
      <c r="J135" s="57"/>
      <c r="K135" s="45"/>
      <c r="L135" s="58"/>
      <c r="M135" s="56"/>
      <c r="N135" s="57"/>
      <c r="O135" s="57"/>
      <c r="P135" s="57"/>
      <c r="Q135" s="57"/>
      <c r="R135" s="57"/>
      <c r="S135" s="57"/>
      <c r="T135" s="45"/>
      <c r="U135" s="71"/>
      <c r="V135" s="57"/>
      <c r="W135" s="57"/>
      <c r="X135" s="57"/>
      <c r="Y135" s="57"/>
      <c r="Z135" s="57"/>
      <c r="AA135" s="57"/>
      <c r="AB135" s="57"/>
      <c r="AC135" s="57"/>
      <c r="AD135" s="71"/>
      <c r="AE135" s="57"/>
      <c r="AF135" s="57"/>
      <c r="AG135" s="57"/>
      <c r="AH135" s="57"/>
      <c r="AI135" s="57"/>
      <c r="AJ135" s="57"/>
      <c r="AK135" s="57"/>
      <c r="AL135" s="57"/>
      <c r="AM135" s="71"/>
      <c r="AN135" s="57"/>
      <c r="AO135" s="57"/>
      <c r="AP135" s="57"/>
      <c r="AQ135" s="57"/>
      <c r="AR135" s="57"/>
      <c r="AS135" s="57"/>
      <c r="AT135" s="57"/>
      <c r="AU135" s="57"/>
      <c r="AV135" s="71"/>
      <c r="AW135" s="57"/>
      <c r="AX135" s="55"/>
      <c r="AY135" s="55"/>
      <c r="AZ135" s="55"/>
      <c r="BA135" s="55"/>
      <c r="BB135" s="55"/>
      <c r="BC135" s="55"/>
      <c r="BD135" s="57"/>
    </row>
    <row r="136" spans="1:56">
      <c r="A136" s="12" t="str">
        <f>Roster!A136</f>
        <v/>
      </c>
      <c r="B136" s="28">
        <f>Roster!C136</f>
        <v>0</v>
      </c>
      <c r="C136" s="55"/>
      <c r="D136" s="56"/>
      <c r="E136" s="57"/>
      <c r="F136" s="57"/>
      <c r="G136" s="57"/>
      <c r="H136" s="57"/>
      <c r="I136" s="57"/>
      <c r="J136" s="57"/>
      <c r="K136" s="45"/>
      <c r="L136" s="58"/>
      <c r="M136" s="56"/>
      <c r="N136" s="57"/>
      <c r="O136" s="57"/>
      <c r="P136" s="57"/>
      <c r="Q136" s="57"/>
      <c r="R136" s="57"/>
      <c r="S136" s="57"/>
      <c r="T136" s="45"/>
      <c r="U136" s="71"/>
      <c r="V136" s="57"/>
      <c r="W136" s="57"/>
      <c r="X136" s="57"/>
      <c r="Y136" s="57"/>
      <c r="Z136" s="57"/>
      <c r="AA136" s="57"/>
      <c r="AB136" s="57"/>
      <c r="AC136" s="57"/>
      <c r="AD136" s="71"/>
      <c r="AE136" s="57"/>
      <c r="AF136" s="57"/>
      <c r="AG136" s="57"/>
      <c r="AH136" s="57"/>
      <c r="AI136" s="57"/>
      <c r="AJ136" s="57"/>
      <c r="AK136" s="57"/>
      <c r="AL136" s="57"/>
      <c r="AM136" s="71"/>
      <c r="AN136" s="57"/>
      <c r="AO136" s="57"/>
      <c r="AP136" s="57"/>
      <c r="AQ136" s="57"/>
      <c r="AR136" s="57"/>
      <c r="AS136" s="57"/>
      <c r="AT136" s="57"/>
      <c r="AU136" s="57"/>
      <c r="AV136" s="71"/>
      <c r="AW136" s="57"/>
      <c r="AX136" s="55"/>
      <c r="AY136" s="55"/>
      <c r="AZ136" s="55"/>
      <c r="BA136" s="55"/>
      <c r="BB136" s="55"/>
      <c r="BC136" s="55"/>
      <c r="BD136" s="57"/>
    </row>
    <row r="137" spans="1:56">
      <c r="A137" s="12" t="str">
        <f>Roster!A137</f>
        <v/>
      </c>
      <c r="B137" s="28">
        <f>Roster!C137</f>
        <v>0</v>
      </c>
      <c r="C137" s="55"/>
      <c r="D137" s="56"/>
      <c r="E137" s="57"/>
      <c r="F137" s="57"/>
      <c r="G137" s="57"/>
      <c r="H137" s="57"/>
      <c r="I137" s="57"/>
      <c r="J137" s="57"/>
      <c r="K137" s="45"/>
      <c r="L137" s="58"/>
      <c r="M137" s="56"/>
      <c r="N137" s="57"/>
      <c r="O137" s="57"/>
      <c r="P137" s="57"/>
      <c r="Q137" s="57"/>
      <c r="R137" s="57"/>
      <c r="S137" s="57"/>
      <c r="T137" s="45"/>
      <c r="U137" s="71"/>
      <c r="V137" s="57"/>
      <c r="W137" s="57"/>
      <c r="X137" s="57"/>
      <c r="Y137" s="57"/>
      <c r="Z137" s="57"/>
      <c r="AA137" s="57"/>
      <c r="AB137" s="57"/>
      <c r="AC137" s="57"/>
      <c r="AD137" s="71"/>
      <c r="AE137" s="57"/>
      <c r="AF137" s="57"/>
      <c r="AG137" s="57"/>
      <c r="AH137" s="57"/>
      <c r="AI137" s="57"/>
      <c r="AJ137" s="57"/>
      <c r="AK137" s="57"/>
      <c r="AL137" s="57"/>
      <c r="AM137" s="71"/>
      <c r="AN137" s="57"/>
      <c r="AO137" s="57"/>
      <c r="AP137" s="57"/>
      <c r="AQ137" s="57"/>
      <c r="AR137" s="57"/>
      <c r="AS137" s="57"/>
      <c r="AT137" s="57"/>
      <c r="AU137" s="57"/>
      <c r="AV137" s="71"/>
      <c r="AW137" s="57"/>
      <c r="AX137" s="55"/>
      <c r="AY137" s="55"/>
      <c r="AZ137" s="55"/>
      <c r="BA137" s="55"/>
      <c r="BB137" s="55"/>
      <c r="BC137" s="55"/>
      <c r="BD137" s="57"/>
    </row>
    <row r="138" spans="1:56">
      <c r="A138" s="12" t="str">
        <f>Roster!A138</f>
        <v/>
      </c>
      <c r="B138" s="28">
        <f>Roster!C138</f>
        <v>0</v>
      </c>
      <c r="C138" s="55"/>
      <c r="D138" s="56"/>
      <c r="E138" s="57"/>
      <c r="F138" s="57"/>
      <c r="G138" s="57"/>
      <c r="H138" s="57"/>
      <c r="I138" s="57"/>
      <c r="J138" s="57"/>
      <c r="K138" s="45"/>
      <c r="L138" s="58"/>
      <c r="M138" s="56"/>
      <c r="N138" s="57"/>
      <c r="O138" s="57"/>
      <c r="P138" s="57"/>
      <c r="Q138" s="57"/>
      <c r="R138" s="57"/>
      <c r="S138" s="57"/>
      <c r="T138" s="45"/>
      <c r="U138" s="71"/>
      <c r="V138" s="57"/>
      <c r="W138" s="57"/>
      <c r="X138" s="57"/>
      <c r="Y138" s="57"/>
      <c r="Z138" s="57"/>
      <c r="AA138" s="57"/>
      <c r="AB138" s="57"/>
      <c r="AC138" s="57"/>
      <c r="AD138" s="71"/>
      <c r="AE138" s="57"/>
      <c r="AF138" s="57"/>
      <c r="AG138" s="57"/>
      <c r="AH138" s="57"/>
      <c r="AI138" s="57"/>
      <c r="AJ138" s="57"/>
      <c r="AK138" s="57"/>
      <c r="AL138" s="57"/>
      <c r="AM138" s="71"/>
      <c r="AN138" s="57"/>
      <c r="AO138" s="57"/>
      <c r="AP138" s="57"/>
      <c r="AQ138" s="57"/>
      <c r="AR138" s="57"/>
      <c r="AS138" s="57"/>
      <c r="AT138" s="57"/>
      <c r="AU138" s="57"/>
      <c r="AV138" s="71"/>
      <c r="AW138" s="57"/>
      <c r="AX138" s="55"/>
      <c r="AY138" s="55"/>
      <c r="AZ138" s="55"/>
      <c r="BA138" s="55"/>
      <c r="BB138" s="55"/>
      <c r="BC138" s="55"/>
      <c r="BD138" s="57"/>
    </row>
    <row r="139" spans="1:56">
      <c r="A139" s="12" t="str">
        <f>Roster!A139</f>
        <v/>
      </c>
      <c r="B139" s="28">
        <f>Roster!C139</f>
        <v>0</v>
      </c>
      <c r="C139" s="55"/>
      <c r="D139" s="56"/>
      <c r="E139" s="57"/>
      <c r="F139" s="57"/>
      <c r="G139" s="57"/>
      <c r="H139" s="57"/>
      <c r="I139" s="57"/>
      <c r="J139" s="57"/>
      <c r="K139" s="45"/>
      <c r="L139" s="58"/>
      <c r="M139" s="56"/>
      <c r="N139" s="57"/>
      <c r="O139" s="57"/>
      <c r="P139" s="57"/>
      <c r="Q139" s="57"/>
      <c r="R139" s="57"/>
      <c r="S139" s="57"/>
      <c r="T139" s="45"/>
      <c r="U139" s="71"/>
      <c r="V139" s="57"/>
      <c r="W139" s="57"/>
      <c r="X139" s="57"/>
      <c r="Y139" s="57"/>
      <c r="Z139" s="57"/>
      <c r="AA139" s="57"/>
      <c r="AB139" s="57"/>
      <c r="AC139" s="57"/>
      <c r="AD139" s="71"/>
      <c r="AE139" s="57"/>
      <c r="AF139" s="57"/>
      <c r="AG139" s="57"/>
      <c r="AH139" s="57"/>
      <c r="AI139" s="57"/>
      <c r="AJ139" s="57"/>
      <c r="AK139" s="57"/>
      <c r="AL139" s="57"/>
      <c r="AM139" s="71"/>
      <c r="AN139" s="57"/>
      <c r="AO139" s="57"/>
      <c r="AP139" s="57"/>
      <c r="AQ139" s="57"/>
      <c r="AR139" s="57"/>
      <c r="AS139" s="57"/>
      <c r="AT139" s="57"/>
      <c r="AU139" s="57"/>
      <c r="AV139" s="71"/>
      <c r="AW139" s="57"/>
      <c r="AX139" s="55"/>
      <c r="AY139" s="55"/>
      <c r="AZ139" s="55"/>
      <c r="BA139" s="55"/>
      <c r="BB139" s="55"/>
      <c r="BC139" s="55"/>
      <c r="BD139" s="57"/>
    </row>
    <row r="140" spans="1:56">
      <c r="A140" s="12" t="str">
        <f>Roster!A140</f>
        <v/>
      </c>
      <c r="B140" s="28">
        <f>Roster!C140</f>
        <v>0</v>
      </c>
      <c r="C140" s="55"/>
      <c r="D140" s="56"/>
      <c r="E140" s="57"/>
      <c r="F140" s="57"/>
      <c r="G140" s="57"/>
      <c r="H140" s="57"/>
      <c r="I140" s="57"/>
      <c r="J140" s="57"/>
      <c r="K140" s="45"/>
      <c r="L140" s="58"/>
      <c r="M140" s="56"/>
      <c r="N140" s="57"/>
      <c r="O140" s="57"/>
      <c r="P140" s="57"/>
      <c r="Q140" s="57"/>
      <c r="R140" s="57"/>
      <c r="S140" s="57"/>
      <c r="T140" s="45"/>
      <c r="U140" s="71"/>
      <c r="V140" s="57"/>
      <c r="W140" s="57"/>
      <c r="X140" s="57"/>
      <c r="Y140" s="57"/>
      <c r="Z140" s="57"/>
      <c r="AA140" s="57"/>
      <c r="AB140" s="57"/>
      <c r="AC140" s="57"/>
      <c r="AD140" s="71"/>
      <c r="AE140" s="57"/>
      <c r="AF140" s="57"/>
      <c r="AG140" s="57"/>
      <c r="AH140" s="57"/>
      <c r="AI140" s="57"/>
      <c r="AJ140" s="57"/>
      <c r="AK140" s="57"/>
      <c r="AL140" s="57"/>
      <c r="AM140" s="71"/>
      <c r="AN140" s="57"/>
      <c r="AO140" s="57"/>
      <c r="AP140" s="57"/>
      <c r="AQ140" s="57"/>
      <c r="AR140" s="57"/>
      <c r="AS140" s="57"/>
      <c r="AT140" s="57"/>
      <c r="AU140" s="57"/>
      <c r="AV140" s="71"/>
      <c r="AW140" s="57"/>
      <c r="AX140" s="55"/>
      <c r="AY140" s="55"/>
      <c r="AZ140" s="55"/>
      <c r="BA140" s="55"/>
      <c r="BB140" s="55"/>
      <c r="BC140" s="55"/>
      <c r="BD140" s="57"/>
    </row>
    <row r="141" spans="1:56">
      <c r="A141" s="12" t="str">
        <f>Roster!A141</f>
        <v/>
      </c>
      <c r="B141" s="28">
        <f>Roster!C141</f>
        <v>0</v>
      </c>
      <c r="C141" s="55"/>
      <c r="D141" s="56"/>
      <c r="E141" s="57"/>
      <c r="F141" s="57"/>
      <c r="G141" s="57"/>
      <c r="H141" s="57"/>
      <c r="I141" s="57"/>
      <c r="J141" s="57"/>
      <c r="K141" s="45"/>
      <c r="L141" s="58"/>
      <c r="M141" s="56"/>
      <c r="N141" s="57"/>
      <c r="O141" s="57"/>
      <c r="P141" s="57"/>
      <c r="Q141" s="57"/>
      <c r="R141" s="57"/>
      <c r="S141" s="57"/>
      <c r="T141" s="45"/>
      <c r="U141" s="71"/>
      <c r="V141" s="57"/>
      <c r="W141" s="57"/>
      <c r="X141" s="57"/>
      <c r="Y141" s="57"/>
      <c r="Z141" s="57"/>
      <c r="AA141" s="57"/>
      <c r="AB141" s="57"/>
      <c r="AC141" s="57"/>
      <c r="AD141" s="71"/>
      <c r="AE141" s="57"/>
      <c r="AF141" s="57"/>
      <c r="AG141" s="57"/>
      <c r="AH141" s="57"/>
      <c r="AI141" s="57"/>
      <c r="AJ141" s="57"/>
      <c r="AK141" s="57"/>
      <c r="AL141" s="57"/>
      <c r="AM141" s="71"/>
      <c r="AN141" s="57"/>
      <c r="AO141" s="57"/>
      <c r="AP141" s="57"/>
      <c r="AQ141" s="57"/>
      <c r="AR141" s="57"/>
      <c r="AS141" s="57"/>
      <c r="AT141" s="57"/>
      <c r="AU141" s="57"/>
      <c r="AV141" s="71"/>
      <c r="AW141" s="57"/>
      <c r="AX141" s="55"/>
      <c r="AY141" s="55"/>
      <c r="AZ141" s="55"/>
      <c r="BA141" s="55"/>
      <c r="BB141" s="55"/>
      <c r="BC141" s="55"/>
      <c r="BD141" s="57"/>
    </row>
    <row r="142" spans="1:56">
      <c r="A142" s="12" t="str">
        <f>Roster!A142</f>
        <v/>
      </c>
      <c r="B142" s="28">
        <f>Roster!C142</f>
        <v>0</v>
      </c>
      <c r="C142" s="55"/>
      <c r="D142" s="56"/>
      <c r="E142" s="57"/>
      <c r="F142" s="57"/>
      <c r="G142" s="57"/>
      <c r="H142" s="57"/>
      <c r="I142" s="57"/>
      <c r="J142" s="57"/>
      <c r="K142" s="45"/>
      <c r="L142" s="58"/>
      <c r="M142" s="56"/>
      <c r="N142" s="57"/>
      <c r="O142" s="57"/>
      <c r="P142" s="57"/>
      <c r="Q142" s="57"/>
      <c r="R142" s="57"/>
      <c r="S142" s="57"/>
      <c r="T142" s="45"/>
      <c r="U142" s="71"/>
      <c r="V142" s="57"/>
      <c r="W142" s="57"/>
      <c r="X142" s="57"/>
      <c r="Y142" s="57"/>
      <c r="Z142" s="57"/>
      <c r="AA142" s="57"/>
      <c r="AB142" s="57"/>
      <c r="AC142" s="57"/>
      <c r="AD142" s="71"/>
      <c r="AE142" s="57"/>
      <c r="AF142" s="57"/>
      <c r="AG142" s="57"/>
      <c r="AH142" s="57"/>
      <c r="AI142" s="57"/>
      <c r="AJ142" s="57"/>
      <c r="AK142" s="57"/>
      <c r="AL142" s="57"/>
      <c r="AM142" s="71"/>
      <c r="AN142" s="57"/>
      <c r="AO142" s="57"/>
      <c r="AP142" s="57"/>
      <c r="AQ142" s="57"/>
      <c r="AR142" s="57"/>
      <c r="AS142" s="57"/>
      <c r="AT142" s="57"/>
      <c r="AU142" s="57"/>
      <c r="AV142" s="71"/>
      <c r="AW142" s="57"/>
      <c r="AX142" s="55"/>
      <c r="AY142" s="55"/>
      <c r="AZ142" s="55"/>
      <c r="BA142" s="55"/>
      <c r="BB142" s="55"/>
      <c r="BC142" s="55"/>
      <c r="BD142" s="57"/>
    </row>
    <row r="143" spans="1:56">
      <c r="A143" s="12" t="str">
        <f>Roster!A143</f>
        <v/>
      </c>
      <c r="B143" s="28">
        <f>Roster!C143</f>
        <v>0</v>
      </c>
      <c r="C143" s="55"/>
      <c r="D143" s="56"/>
      <c r="E143" s="57"/>
      <c r="F143" s="57"/>
      <c r="G143" s="57"/>
      <c r="H143" s="57"/>
      <c r="I143" s="57"/>
      <c r="J143" s="57"/>
      <c r="K143" s="45"/>
      <c r="L143" s="58"/>
      <c r="M143" s="56"/>
      <c r="N143" s="57"/>
      <c r="O143" s="57"/>
      <c r="P143" s="57"/>
      <c r="Q143" s="57"/>
      <c r="R143" s="57"/>
      <c r="S143" s="57"/>
      <c r="T143" s="45"/>
      <c r="U143" s="71"/>
      <c r="V143" s="57"/>
      <c r="W143" s="57"/>
      <c r="X143" s="57"/>
      <c r="Y143" s="57"/>
      <c r="Z143" s="57"/>
      <c r="AA143" s="57"/>
      <c r="AB143" s="57"/>
      <c r="AC143" s="57"/>
      <c r="AD143" s="71"/>
      <c r="AE143" s="57"/>
      <c r="AF143" s="57"/>
      <c r="AG143" s="57"/>
      <c r="AH143" s="57"/>
      <c r="AI143" s="57"/>
      <c r="AJ143" s="57"/>
      <c r="AK143" s="57"/>
      <c r="AL143" s="57"/>
      <c r="AM143" s="71"/>
      <c r="AN143" s="57"/>
      <c r="AO143" s="57"/>
      <c r="AP143" s="57"/>
      <c r="AQ143" s="57"/>
      <c r="AR143" s="57"/>
      <c r="AS143" s="57"/>
      <c r="AT143" s="57"/>
      <c r="AU143" s="57"/>
      <c r="AV143" s="71"/>
      <c r="AW143" s="57"/>
      <c r="AX143" s="55"/>
      <c r="AY143" s="55"/>
      <c r="AZ143" s="55"/>
      <c r="BA143" s="55"/>
      <c r="BB143" s="55"/>
      <c r="BC143" s="55"/>
      <c r="BD143" s="57"/>
    </row>
    <row r="144" spans="1:56">
      <c r="A144" s="12" t="str">
        <f>Roster!A144</f>
        <v/>
      </c>
      <c r="B144" s="28">
        <f>Roster!C144</f>
        <v>0</v>
      </c>
      <c r="C144" s="55"/>
      <c r="D144" s="56"/>
      <c r="E144" s="57"/>
      <c r="F144" s="57"/>
      <c r="G144" s="57"/>
      <c r="H144" s="57"/>
      <c r="I144" s="57"/>
      <c r="J144" s="57"/>
      <c r="K144" s="45"/>
      <c r="L144" s="58"/>
      <c r="M144" s="56"/>
      <c r="N144" s="57"/>
      <c r="O144" s="57"/>
      <c r="P144" s="57"/>
      <c r="Q144" s="57"/>
      <c r="R144" s="57"/>
      <c r="S144" s="57"/>
      <c r="T144" s="45"/>
      <c r="U144" s="71"/>
      <c r="V144" s="57"/>
      <c r="W144" s="57"/>
      <c r="X144" s="57"/>
      <c r="Y144" s="57"/>
      <c r="Z144" s="57"/>
      <c r="AA144" s="57"/>
      <c r="AB144" s="57"/>
      <c r="AC144" s="57"/>
      <c r="AD144" s="71"/>
      <c r="AE144" s="57"/>
      <c r="AF144" s="57"/>
      <c r="AG144" s="57"/>
      <c r="AH144" s="57"/>
      <c r="AI144" s="57"/>
      <c r="AJ144" s="57"/>
      <c r="AK144" s="57"/>
      <c r="AL144" s="57"/>
      <c r="AM144" s="71"/>
      <c r="AN144" s="57"/>
      <c r="AO144" s="57"/>
      <c r="AP144" s="57"/>
      <c r="AQ144" s="57"/>
      <c r="AR144" s="57"/>
      <c r="AS144" s="57"/>
      <c r="AT144" s="57"/>
      <c r="AU144" s="57"/>
      <c r="AV144" s="71"/>
      <c r="AW144" s="57"/>
      <c r="AX144" s="55"/>
      <c r="AY144" s="55"/>
      <c r="AZ144" s="55"/>
      <c r="BA144" s="55"/>
      <c r="BB144" s="55"/>
      <c r="BC144" s="55"/>
      <c r="BD144" s="57"/>
    </row>
    <row r="145" spans="1:56">
      <c r="A145" s="12" t="str">
        <f>Roster!A145</f>
        <v/>
      </c>
      <c r="B145" s="28">
        <f>Roster!C145</f>
        <v>0</v>
      </c>
      <c r="C145" s="55"/>
      <c r="D145" s="56"/>
      <c r="E145" s="57"/>
      <c r="F145" s="57"/>
      <c r="G145" s="57"/>
      <c r="H145" s="57"/>
      <c r="I145" s="57"/>
      <c r="J145" s="57"/>
      <c r="K145" s="45"/>
      <c r="L145" s="58"/>
      <c r="M145" s="56"/>
      <c r="N145" s="57"/>
      <c r="O145" s="57"/>
      <c r="P145" s="57"/>
      <c r="Q145" s="57"/>
      <c r="R145" s="57"/>
      <c r="S145" s="57"/>
      <c r="T145" s="45"/>
      <c r="U145" s="71"/>
      <c r="V145" s="57"/>
      <c r="W145" s="57"/>
      <c r="X145" s="57"/>
      <c r="Y145" s="57"/>
      <c r="Z145" s="57"/>
      <c r="AA145" s="57"/>
      <c r="AB145" s="57"/>
      <c r="AC145" s="57"/>
      <c r="AD145" s="71"/>
      <c r="AE145" s="57"/>
      <c r="AF145" s="57"/>
      <c r="AG145" s="57"/>
      <c r="AH145" s="57"/>
      <c r="AI145" s="57"/>
      <c r="AJ145" s="57"/>
      <c r="AK145" s="57"/>
      <c r="AL145" s="57"/>
      <c r="AM145" s="71"/>
      <c r="AN145" s="57"/>
      <c r="AO145" s="57"/>
      <c r="AP145" s="57"/>
      <c r="AQ145" s="57"/>
      <c r="AR145" s="57"/>
      <c r="AS145" s="57"/>
      <c r="AT145" s="57"/>
      <c r="AU145" s="57"/>
      <c r="AV145" s="71"/>
      <c r="AW145" s="57"/>
      <c r="AX145" s="55"/>
      <c r="AY145" s="55"/>
      <c r="AZ145" s="55"/>
      <c r="BA145" s="55"/>
      <c r="BB145" s="55"/>
      <c r="BC145" s="55"/>
      <c r="BD145" s="57"/>
    </row>
    <row r="146" spans="1:56">
      <c r="A146" s="12" t="str">
        <f>Roster!A146</f>
        <v/>
      </c>
      <c r="B146" s="28">
        <f>Roster!C146</f>
        <v>0</v>
      </c>
      <c r="C146" s="55"/>
      <c r="D146" s="56"/>
      <c r="E146" s="57"/>
      <c r="F146" s="57"/>
      <c r="G146" s="57"/>
      <c r="H146" s="57"/>
      <c r="I146" s="57"/>
      <c r="J146" s="57"/>
      <c r="K146" s="45"/>
      <c r="L146" s="58"/>
      <c r="M146" s="56"/>
      <c r="N146" s="57"/>
      <c r="O146" s="57"/>
      <c r="P146" s="57"/>
      <c r="Q146" s="57"/>
      <c r="R146" s="57"/>
      <c r="S146" s="57"/>
      <c r="T146" s="45"/>
      <c r="U146" s="71"/>
      <c r="V146" s="57"/>
      <c r="W146" s="57"/>
      <c r="X146" s="57"/>
      <c r="Y146" s="57"/>
      <c r="Z146" s="57"/>
      <c r="AA146" s="57"/>
      <c r="AB146" s="57"/>
      <c r="AC146" s="57"/>
      <c r="AD146" s="71"/>
      <c r="AE146" s="57"/>
      <c r="AF146" s="57"/>
      <c r="AG146" s="57"/>
      <c r="AH146" s="57"/>
      <c r="AI146" s="57"/>
      <c r="AJ146" s="57"/>
      <c r="AK146" s="57"/>
      <c r="AL146" s="57"/>
      <c r="AM146" s="71"/>
      <c r="AN146" s="57"/>
      <c r="AO146" s="57"/>
      <c r="AP146" s="57"/>
      <c r="AQ146" s="57"/>
      <c r="AR146" s="57"/>
      <c r="AS146" s="57"/>
      <c r="AT146" s="57"/>
      <c r="AU146" s="57"/>
      <c r="AV146" s="71"/>
      <c r="AW146" s="57"/>
      <c r="AX146" s="55"/>
      <c r="AY146" s="55"/>
      <c r="AZ146" s="55"/>
      <c r="BA146" s="55"/>
      <c r="BB146" s="55"/>
      <c r="BC146" s="55"/>
      <c r="BD146" s="57"/>
    </row>
    <row r="147" spans="1:56">
      <c r="A147" s="12" t="str">
        <f>Roster!A147</f>
        <v/>
      </c>
      <c r="B147" s="28">
        <f>Roster!C147</f>
        <v>0</v>
      </c>
      <c r="C147" s="55"/>
      <c r="D147" s="56"/>
      <c r="E147" s="57"/>
      <c r="F147" s="57"/>
      <c r="G147" s="57"/>
      <c r="H147" s="57"/>
      <c r="I147" s="57"/>
      <c r="J147" s="57"/>
      <c r="K147" s="45"/>
      <c r="L147" s="58"/>
      <c r="M147" s="56"/>
      <c r="N147" s="57"/>
      <c r="O147" s="57"/>
      <c r="P147" s="57"/>
      <c r="Q147" s="57"/>
      <c r="R147" s="57"/>
      <c r="S147" s="57"/>
      <c r="T147" s="45"/>
      <c r="U147" s="71"/>
      <c r="V147" s="57"/>
      <c r="W147" s="57"/>
      <c r="X147" s="57"/>
      <c r="Y147" s="57"/>
      <c r="Z147" s="57"/>
      <c r="AA147" s="57"/>
      <c r="AB147" s="57"/>
      <c r="AC147" s="57"/>
      <c r="AD147" s="71"/>
      <c r="AE147" s="57"/>
      <c r="AF147" s="57"/>
      <c r="AG147" s="57"/>
      <c r="AH147" s="57"/>
      <c r="AI147" s="57"/>
      <c r="AJ147" s="57"/>
      <c r="AK147" s="57"/>
      <c r="AL147" s="57"/>
      <c r="AM147" s="71"/>
      <c r="AN147" s="57"/>
      <c r="AO147" s="57"/>
      <c r="AP147" s="57"/>
      <c r="AQ147" s="57"/>
      <c r="AR147" s="57"/>
      <c r="AS147" s="57"/>
      <c r="AT147" s="57"/>
      <c r="AU147" s="57"/>
      <c r="AV147" s="71"/>
      <c r="AW147" s="57"/>
      <c r="AX147" s="55"/>
      <c r="AY147" s="55"/>
      <c r="AZ147" s="55"/>
      <c r="BA147" s="55"/>
      <c r="BB147" s="55"/>
      <c r="BC147" s="55"/>
      <c r="BD147" s="57"/>
    </row>
    <row r="148" spans="1:56">
      <c r="A148" s="12" t="str">
        <f>Roster!A148</f>
        <v/>
      </c>
      <c r="B148" s="28">
        <f>Roster!C148</f>
        <v>0</v>
      </c>
      <c r="C148" s="55"/>
      <c r="D148" s="56"/>
      <c r="E148" s="57"/>
      <c r="F148" s="57"/>
      <c r="G148" s="57"/>
      <c r="H148" s="57"/>
      <c r="I148" s="57"/>
      <c r="J148" s="57"/>
      <c r="K148" s="45"/>
      <c r="L148" s="58"/>
      <c r="M148" s="56"/>
      <c r="N148" s="57"/>
      <c r="O148" s="57"/>
      <c r="P148" s="57"/>
      <c r="Q148" s="57"/>
      <c r="R148" s="57"/>
      <c r="S148" s="57"/>
      <c r="T148" s="45"/>
      <c r="U148" s="71"/>
      <c r="V148" s="57"/>
      <c r="W148" s="57"/>
      <c r="X148" s="57"/>
      <c r="Y148" s="57"/>
      <c r="Z148" s="57"/>
      <c r="AA148" s="57"/>
      <c r="AB148" s="57"/>
      <c r="AC148" s="57"/>
      <c r="AD148" s="71"/>
      <c r="AE148" s="57"/>
      <c r="AF148" s="57"/>
      <c r="AG148" s="57"/>
      <c r="AH148" s="57"/>
      <c r="AI148" s="57"/>
      <c r="AJ148" s="57"/>
      <c r="AK148" s="57"/>
      <c r="AL148" s="57"/>
      <c r="AM148" s="71"/>
      <c r="AN148" s="57"/>
      <c r="AO148" s="57"/>
      <c r="AP148" s="57"/>
      <c r="AQ148" s="57"/>
      <c r="AR148" s="57"/>
      <c r="AS148" s="57"/>
      <c r="AT148" s="57"/>
      <c r="AU148" s="57"/>
      <c r="AV148" s="71"/>
      <c r="AW148" s="57"/>
      <c r="AX148" s="55"/>
      <c r="AY148" s="55"/>
      <c r="AZ148" s="55"/>
      <c r="BA148" s="55"/>
      <c r="BB148" s="55"/>
      <c r="BC148" s="55"/>
      <c r="BD148" s="57"/>
    </row>
    <row r="149" spans="1:56">
      <c r="A149" s="12" t="str">
        <f>Roster!A149</f>
        <v/>
      </c>
      <c r="B149" s="28">
        <f>Roster!C149</f>
        <v>0</v>
      </c>
      <c r="C149" s="55"/>
      <c r="D149" s="56"/>
      <c r="E149" s="57"/>
      <c r="F149" s="57"/>
      <c r="G149" s="57"/>
      <c r="H149" s="57"/>
      <c r="I149" s="57"/>
      <c r="J149" s="57"/>
      <c r="K149" s="45"/>
      <c r="L149" s="58"/>
      <c r="M149" s="56"/>
      <c r="N149" s="57"/>
      <c r="O149" s="57"/>
      <c r="P149" s="57"/>
      <c r="Q149" s="57"/>
      <c r="R149" s="57"/>
      <c r="S149" s="57"/>
      <c r="T149" s="45"/>
      <c r="U149" s="71"/>
      <c r="V149" s="57"/>
      <c r="W149" s="57"/>
      <c r="X149" s="57"/>
      <c r="Y149" s="57"/>
      <c r="Z149" s="57"/>
      <c r="AA149" s="57"/>
      <c r="AB149" s="57"/>
      <c r="AC149" s="57"/>
      <c r="AD149" s="71"/>
      <c r="AE149" s="57"/>
      <c r="AF149" s="57"/>
      <c r="AG149" s="57"/>
      <c r="AH149" s="57"/>
      <c r="AI149" s="57"/>
      <c r="AJ149" s="57"/>
      <c r="AK149" s="57"/>
      <c r="AL149" s="57"/>
      <c r="AM149" s="71"/>
      <c r="AN149" s="57"/>
      <c r="AO149" s="57"/>
      <c r="AP149" s="57"/>
      <c r="AQ149" s="57"/>
      <c r="AR149" s="57"/>
      <c r="AS149" s="57"/>
      <c r="AT149" s="57"/>
      <c r="AU149" s="57"/>
      <c r="AV149" s="71"/>
      <c r="AW149" s="57"/>
      <c r="AX149" s="55"/>
      <c r="AY149" s="55"/>
      <c r="AZ149" s="55"/>
      <c r="BA149" s="55"/>
      <c r="BB149" s="55"/>
      <c r="BC149" s="55"/>
      <c r="BD149" s="57"/>
    </row>
    <row r="150" spans="1:56">
      <c r="A150" s="12" t="str">
        <f>Roster!A150</f>
        <v/>
      </c>
      <c r="B150" s="28">
        <f>Roster!C150</f>
        <v>0</v>
      </c>
      <c r="C150" s="55"/>
      <c r="D150" s="56"/>
      <c r="E150" s="57"/>
      <c r="F150" s="57"/>
      <c r="G150" s="57"/>
      <c r="H150" s="57"/>
      <c r="I150" s="57"/>
      <c r="J150" s="57"/>
      <c r="K150" s="45"/>
      <c r="L150" s="58"/>
      <c r="M150" s="56"/>
      <c r="N150" s="57"/>
      <c r="O150" s="57"/>
      <c r="P150" s="57"/>
      <c r="Q150" s="57"/>
      <c r="R150" s="57"/>
      <c r="S150" s="57"/>
      <c r="T150" s="45"/>
      <c r="U150" s="71"/>
      <c r="V150" s="57"/>
      <c r="W150" s="57"/>
      <c r="X150" s="57"/>
      <c r="Y150" s="57"/>
      <c r="Z150" s="57"/>
      <c r="AA150" s="57"/>
      <c r="AB150" s="57"/>
      <c r="AC150" s="57"/>
      <c r="AD150" s="71"/>
      <c r="AE150" s="57"/>
      <c r="AF150" s="57"/>
      <c r="AG150" s="57"/>
      <c r="AH150" s="57"/>
      <c r="AI150" s="57"/>
      <c r="AJ150" s="57"/>
      <c r="AK150" s="57"/>
      <c r="AL150" s="57"/>
      <c r="AM150" s="71"/>
      <c r="AN150" s="57"/>
      <c r="AO150" s="57"/>
      <c r="AP150" s="57"/>
      <c r="AQ150" s="57"/>
      <c r="AR150" s="57"/>
      <c r="AS150" s="57"/>
      <c r="AT150" s="57"/>
      <c r="AU150" s="57"/>
      <c r="AV150" s="71"/>
      <c r="AW150" s="57"/>
      <c r="AX150" s="55"/>
      <c r="AY150" s="55"/>
      <c r="AZ150" s="55"/>
      <c r="BA150" s="55"/>
      <c r="BB150" s="55"/>
      <c r="BC150" s="55"/>
      <c r="BD150" s="57"/>
    </row>
    <row r="151" spans="1:56">
      <c r="A151" s="12" t="str">
        <f>Roster!A151</f>
        <v/>
      </c>
      <c r="B151" s="28">
        <f>Roster!C151</f>
        <v>0</v>
      </c>
      <c r="C151" s="55"/>
      <c r="D151" s="56"/>
      <c r="E151" s="57"/>
      <c r="F151" s="57"/>
      <c r="G151" s="57"/>
      <c r="H151" s="57"/>
      <c r="I151" s="57"/>
      <c r="J151" s="57"/>
      <c r="K151" s="45"/>
      <c r="L151" s="58"/>
      <c r="M151" s="56"/>
      <c r="N151" s="57"/>
      <c r="O151" s="57"/>
      <c r="P151" s="57"/>
      <c r="Q151" s="57"/>
      <c r="R151" s="57"/>
      <c r="S151" s="57"/>
      <c r="T151" s="45"/>
      <c r="U151" s="71"/>
      <c r="V151" s="57"/>
      <c r="W151" s="57"/>
      <c r="X151" s="57"/>
      <c r="Y151" s="57"/>
      <c r="Z151" s="57"/>
      <c r="AA151" s="57"/>
      <c r="AB151" s="57"/>
      <c r="AC151" s="57"/>
      <c r="AD151" s="71"/>
      <c r="AE151" s="57"/>
      <c r="AF151" s="57"/>
      <c r="AG151" s="57"/>
      <c r="AH151" s="57"/>
      <c r="AI151" s="57"/>
      <c r="AJ151" s="57"/>
      <c r="AK151" s="57"/>
      <c r="AL151" s="57"/>
      <c r="AM151" s="71"/>
      <c r="AN151" s="57"/>
      <c r="AO151" s="57"/>
      <c r="AP151" s="57"/>
      <c r="AQ151" s="57"/>
      <c r="AR151" s="57"/>
      <c r="AS151" s="57"/>
      <c r="AT151" s="57"/>
      <c r="AU151" s="57"/>
      <c r="AV151" s="71"/>
      <c r="AW151" s="57"/>
      <c r="AX151" s="55"/>
      <c r="AY151" s="55"/>
      <c r="AZ151" s="55"/>
      <c r="BA151" s="55"/>
      <c r="BB151" s="55"/>
      <c r="BC151" s="55"/>
      <c r="BD151" s="57"/>
    </row>
    <row r="152" spans="1:56">
      <c r="A152" s="12" t="str">
        <f>Roster!A152</f>
        <v/>
      </c>
      <c r="B152" s="28">
        <f>Roster!C152</f>
        <v>0</v>
      </c>
      <c r="C152" s="55"/>
      <c r="D152" s="56"/>
      <c r="E152" s="57"/>
      <c r="F152" s="57"/>
      <c r="G152" s="57"/>
      <c r="H152" s="57"/>
      <c r="I152" s="57"/>
      <c r="J152" s="57"/>
      <c r="K152" s="45"/>
      <c r="L152" s="58"/>
      <c r="M152" s="56"/>
      <c r="N152" s="57"/>
      <c r="O152" s="57"/>
      <c r="P152" s="57"/>
      <c r="Q152" s="57"/>
      <c r="R152" s="57"/>
      <c r="S152" s="57"/>
      <c r="T152" s="45"/>
      <c r="U152" s="71"/>
      <c r="V152" s="57"/>
      <c r="W152" s="57"/>
      <c r="X152" s="57"/>
      <c r="Y152" s="57"/>
      <c r="Z152" s="57"/>
      <c r="AA152" s="57"/>
      <c r="AB152" s="57"/>
      <c r="AC152" s="57"/>
      <c r="AD152" s="71"/>
      <c r="AE152" s="57"/>
      <c r="AF152" s="57"/>
      <c r="AG152" s="57"/>
      <c r="AH152" s="57"/>
      <c r="AI152" s="57"/>
      <c r="AJ152" s="57"/>
      <c r="AK152" s="57"/>
      <c r="AL152" s="57"/>
      <c r="AM152" s="71"/>
      <c r="AN152" s="57"/>
      <c r="AO152" s="57"/>
      <c r="AP152" s="57"/>
      <c r="AQ152" s="57"/>
      <c r="AR152" s="57"/>
      <c r="AS152" s="57"/>
      <c r="AT152" s="57"/>
      <c r="AU152" s="57"/>
      <c r="AV152" s="71"/>
      <c r="AW152" s="57"/>
      <c r="AX152" s="55"/>
      <c r="AY152" s="55"/>
      <c r="AZ152" s="55"/>
      <c r="BA152" s="55"/>
      <c r="BB152" s="55"/>
      <c r="BC152" s="55"/>
      <c r="BD152" s="57"/>
    </row>
    <row r="153" spans="1:56">
      <c r="A153" s="12" t="str">
        <f>Roster!A153</f>
        <v/>
      </c>
      <c r="B153" s="28">
        <f>Roster!C153</f>
        <v>0</v>
      </c>
      <c r="C153" s="55"/>
      <c r="D153" s="56"/>
      <c r="E153" s="57"/>
      <c r="F153" s="57"/>
      <c r="G153" s="57"/>
      <c r="H153" s="57"/>
      <c r="I153" s="57"/>
      <c r="J153" s="57"/>
      <c r="K153" s="45"/>
      <c r="L153" s="58"/>
      <c r="M153" s="56"/>
      <c r="N153" s="57"/>
      <c r="O153" s="57"/>
      <c r="P153" s="57"/>
      <c r="Q153" s="57"/>
      <c r="R153" s="57"/>
      <c r="S153" s="57"/>
      <c r="T153" s="45"/>
      <c r="U153" s="71"/>
      <c r="V153" s="57"/>
      <c r="W153" s="57"/>
      <c r="X153" s="57"/>
      <c r="Y153" s="57"/>
      <c r="Z153" s="57"/>
      <c r="AA153" s="57"/>
      <c r="AB153" s="57"/>
      <c r="AC153" s="57"/>
      <c r="AD153" s="71"/>
      <c r="AE153" s="57"/>
      <c r="AF153" s="57"/>
      <c r="AG153" s="57"/>
      <c r="AH153" s="57"/>
      <c r="AI153" s="57"/>
      <c r="AJ153" s="57"/>
      <c r="AK153" s="57"/>
      <c r="AL153" s="57"/>
      <c r="AM153" s="71"/>
      <c r="AN153" s="57"/>
      <c r="AO153" s="57"/>
      <c r="AP153" s="57"/>
      <c r="AQ153" s="57"/>
      <c r="AR153" s="57"/>
      <c r="AS153" s="57"/>
      <c r="AT153" s="57"/>
      <c r="AU153" s="57"/>
      <c r="AV153" s="71"/>
      <c r="AW153" s="57"/>
      <c r="AX153" s="55"/>
      <c r="AY153" s="55"/>
      <c r="AZ153" s="55"/>
      <c r="BA153" s="55"/>
      <c r="BB153" s="55"/>
      <c r="BC153" s="55"/>
      <c r="BD153" s="57"/>
    </row>
    <row r="154" spans="1:56">
      <c r="A154" s="12" t="str">
        <f>Roster!A154</f>
        <v/>
      </c>
      <c r="B154" s="28">
        <f>Roster!C154</f>
        <v>0</v>
      </c>
      <c r="C154" s="55"/>
      <c r="D154" s="56"/>
      <c r="E154" s="57"/>
      <c r="F154" s="57"/>
      <c r="G154" s="57"/>
      <c r="H154" s="57"/>
      <c r="I154" s="57"/>
      <c r="J154" s="57"/>
      <c r="K154" s="45"/>
      <c r="L154" s="58"/>
      <c r="M154" s="56"/>
      <c r="N154" s="57"/>
      <c r="O154" s="57"/>
      <c r="P154" s="57"/>
      <c r="Q154" s="57"/>
      <c r="R154" s="57"/>
      <c r="S154" s="57"/>
      <c r="T154" s="45"/>
      <c r="U154" s="71"/>
      <c r="V154" s="57"/>
      <c r="W154" s="57"/>
      <c r="X154" s="57"/>
      <c r="Y154" s="57"/>
      <c r="Z154" s="57"/>
      <c r="AA154" s="57"/>
      <c r="AB154" s="57"/>
      <c r="AC154" s="57"/>
      <c r="AD154" s="71"/>
      <c r="AE154" s="57"/>
      <c r="AF154" s="57"/>
      <c r="AG154" s="57"/>
      <c r="AH154" s="57"/>
      <c r="AI154" s="57"/>
      <c r="AJ154" s="57"/>
      <c r="AK154" s="57"/>
      <c r="AL154" s="57"/>
      <c r="AM154" s="71"/>
      <c r="AN154" s="57"/>
      <c r="AO154" s="57"/>
      <c r="AP154" s="57"/>
      <c r="AQ154" s="57"/>
      <c r="AR154" s="57"/>
      <c r="AS154" s="57"/>
      <c r="AT154" s="57"/>
      <c r="AU154" s="57"/>
      <c r="AV154" s="71"/>
      <c r="AW154" s="57"/>
      <c r="AX154" s="55"/>
      <c r="AY154" s="55"/>
      <c r="AZ154" s="55"/>
      <c r="BA154" s="55"/>
      <c r="BB154" s="55"/>
      <c r="BC154" s="55"/>
      <c r="BD154" s="57"/>
    </row>
    <row r="155" spans="1:56">
      <c r="A155" s="12" t="str">
        <f>Roster!A155</f>
        <v/>
      </c>
      <c r="B155" s="28">
        <f>Roster!C155</f>
        <v>0</v>
      </c>
      <c r="C155" s="55"/>
      <c r="D155" s="56"/>
      <c r="E155" s="57"/>
      <c r="F155" s="57"/>
      <c r="G155" s="57"/>
      <c r="H155" s="57"/>
      <c r="I155" s="57"/>
      <c r="J155" s="57"/>
      <c r="K155" s="45"/>
      <c r="L155" s="58"/>
      <c r="M155" s="56"/>
      <c r="N155" s="57"/>
      <c r="O155" s="57"/>
      <c r="P155" s="57"/>
      <c r="Q155" s="57"/>
      <c r="R155" s="57"/>
      <c r="S155" s="57"/>
      <c r="T155" s="45"/>
      <c r="U155" s="71"/>
      <c r="V155" s="57"/>
      <c r="W155" s="57"/>
      <c r="X155" s="57"/>
      <c r="Y155" s="57"/>
      <c r="Z155" s="57"/>
      <c r="AA155" s="57"/>
      <c r="AB155" s="57"/>
      <c r="AC155" s="57"/>
      <c r="AD155" s="71"/>
      <c r="AE155" s="57"/>
      <c r="AF155" s="57"/>
      <c r="AG155" s="57"/>
      <c r="AH155" s="57"/>
      <c r="AI155" s="57"/>
      <c r="AJ155" s="57"/>
      <c r="AK155" s="57"/>
      <c r="AL155" s="57"/>
      <c r="AM155" s="71"/>
      <c r="AN155" s="57"/>
      <c r="AO155" s="57"/>
      <c r="AP155" s="57"/>
      <c r="AQ155" s="57"/>
      <c r="AR155" s="57"/>
      <c r="AS155" s="57"/>
      <c r="AT155" s="57"/>
      <c r="AU155" s="57"/>
      <c r="AV155" s="71"/>
      <c r="AW155" s="57"/>
      <c r="AX155" s="55"/>
      <c r="AY155" s="55"/>
      <c r="AZ155" s="55"/>
      <c r="BA155" s="55"/>
      <c r="BB155" s="55"/>
      <c r="BC155" s="55"/>
      <c r="BD155" s="57"/>
    </row>
    <row r="156" spans="1:56">
      <c r="A156" s="12" t="str">
        <f>Roster!A156</f>
        <v/>
      </c>
      <c r="B156" s="28">
        <f>Roster!C156</f>
        <v>0</v>
      </c>
      <c r="C156" s="55"/>
      <c r="D156" s="56"/>
      <c r="E156" s="57"/>
      <c r="F156" s="57"/>
      <c r="G156" s="57"/>
      <c r="H156" s="57"/>
      <c r="I156" s="57"/>
      <c r="J156" s="57"/>
      <c r="K156" s="45"/>
      <c r="L156" s="58"/>
      <c r="M156" s="56"/>
      <c r="N156" s="57"/>
      <c r="O156" s="57"/>
      <c r="P156" s="57"/>
      <c r="Q156" s="57"/>
      <c r="R156" s="57"/>
      <c r="S156" s="57"/>
      <c r="T156" s="45"/>
      <c r="U156" s="71"/>
      <c r="V156" s="57"/>
      <c r="W156" s="57"/>
      <c r="X156" s="57"/>
      <c r="Y156" s="57"/>
      <c r="Z156" s="57"/>
      <c r="AA156" s="57"/>
      <c r="AB156" s="57"/>
      <c r="AC156" s="57"/>
      <c r="AD156" s="71"/>
      <c r="AE156" s="57"/>
      <c r="AF156" s="57"/>
      <c r="AG156" s="57"/>
      <c r="AH156" s="57"/>
      <c r="AI156" s="57"/>
      <c r="AJ156" s="57"/>
      <c r="AK156" s="57"/>
      <c r="AL156" s="57"/>
      <c r="AM156" s="71"/>
      <c r="AN156" s="57"/>
      <c r="AO156" s="57"/>
      <c r="AP156" s="57"/>
      <c r="AQ156" s="57"/>
      <c r="AR156" s="57"/>
      <c r="AS156" s="57"/>
      <c r="AT156" s="57"/>
      <c r="AU156" s="57"/>
      <c r="AV156" s="71"/>
      <c r="AW156" s="57"/>
      <c r="AX156" s="55"/>
      <c r="AY156" s="55"/>
      <c r="AZ156" s="55"/>
      <c r="BA156" s="55"/>
      <c r="BB156" s="55"/>
      <c r="BC156" s="55"/>
      <c r="BD156" s="57"/>
    </row>
    <row r="157" spans="1:56">
      <c r="A157" s="12" t="str">
        <f>Roster!A157</f>
        <v/>
      </c>
      <c r="B157" s="28">
        <f>Roster!C157</f>
        <v>0</v>
      </c>
      <c r="C157" s="55"/>
      <c r="D157" s="56"/>
      <c r="E157" s="57"/>
      <c r="F157" s="57"/>
      <c r="G157" s="57"/>
      <c r="H157" s="57"/>
      <c r="I157" s="57"/>
      <c r="J157" s="57"/>
      <c r="K157" s="45"/>
      <c r="L157" s="58"/>
      <c r="M157" s="56"/>
      <c r="N157" s="57"/>
      <c r="O157" s="57"/>
      <c r="P157" s="57"/>
      <c r="Q157" s="57"/>
      <c r="R157" s="57"/>
      <c r="S157" s="57"/>
      <c r="T157" s="45"/>
      <c r="U157" s="71"/>
      <c r="V157" s="57"/>
      <c r="W157" s="57"/>
      <c r="X157" s="57"/>
      <c r="Y157" s="57"/>
      <c r="Z157" s="57"/>
      <c r="AA157" s="57"/>
      <c r="AB157" s="57"/>
      <c r="AC157" s="57"/>
      <c r="AD157" s="71"/>
      <c r="AE157" s="57"/>
      <c r="AF157" s="57"/>
      <c r="AG157" s="57"/>
      <c r="AH157" s="57"/>
      <c r="AI157" s="57"/>
      <c r="AJ157" s="57"/>
      <c r="AK157" s="57"/>
      <c r="AL157" s="57"/>
      <c r="AM157" s="71"/>
      <c r="AN157" s="57"/>
      <c r="AO157" s="57"/>
      <c r="AP157" s="57"/>
      <c r="AQ157" s="57"/>
      <c r="AR157" s="57"/>
      <c r="AS157" s="57"/>
      <c r="AT157" s="57"/>
      <c r="AU157" s="57"/>
      <c r="AV157" s="71"/>
      <c r="AW157" s="57"/>
      <c r="AX157" s="55"/>
      <c r="AY157" s="55"/>
      <c r="AZ157" s="55"/>
      <c r="BA157" s="55"/>
      <c r="BB157" s="55"/>
      <c r="BC157" s="55"/>
      <c r="BD157" s="57"/>
    </row>
    <row r="158" spans="1:56">
      <c r="A158" s="12" t="str">
        <f>Roster!A158</f>
        <v/>
      </c>
      <c r="B158" s="28">
        <f>Roster!C158</f>
        <v>0</v>
      </c>
      <c r="C158" s="55"/>
      <c r="D158" s="56"/>
      <c r="E158" s="57"/>
      <c r="F158" s="57"/>
      <c r="G158" s="57"/>
      <c r="H158" s="57"/>
      <c r="I158" s="57"/>
      <c r="J158" s="57"/>
      <c r="K158" s="45"/>
      <c r="L158" s="58"/>
      <c r="M158" s="56"/>
      <c r="N158" s="57"/>
      <c r="O158" s="57"/>
      <c r="P158" s="57"/>
      <c r="Q158" s="57"/>
      <c r="R158" s="57"/>
      <c r="S158" s="57"/>
      <c r="T158" s="45"/>
      <c r="U158" s="71"/>
      <c r="V158" s="57"/>
      <c r="W158" s="57"/>
      <c r="X158" s="57"/>
      <c r="Y158" s="57"/>
      <c r="Z158" s="57"/>
      <c r="AA158" s="57"/>
      <c r="AB158" s="57"/>
      <c r="AC158" s="57"/>
      <c r="AD158" s="71"/>
      <c r="AE158" s="57"/>
      <c r="AF158" s="57"/>
      <c r="AG158" s="57"/>
      <c r="AH158" s="57"/>
      <c r="AI158" s="57"/>
      <c r="AJ158" s="57"/>
      <c r="AK158" s="57"/>
      <c r="AL158" s="57"/>
      <c r="AM158" s="71"/>
      <c r="AN158" s="57"/>
      <c r="AO158" s="57"/>
      <c r="AP158" s="57"/>
      <c r="AQ158" s="57"/>
      <c r="AR158" s="57"/>
      <c r="AS158" s="57"/>
      <c r="AT158" s="57"/>
      <c r="AU158" s="57"/>
      <c r="AV158" s="71"/>
      <c r="AW158" s="57"/>
      <c r="AX158" s="55"/>
      <c r="AY158" s="55"/>
      <c r="AZ158" s="55"/>
      <c r="BA158" s="55"/>
      <c r="BB158" s="55"/>
      <c r="BC158" s="55"/>
      <c r="BD158" s="57"/>
    </row>
    <row r="159" spans="1:56">
      <c r="A159" s="12" t="str">
        <f>Roster!A159</f>
        <v/>
      </c>
      <c r="B159" s="28">
        <f>Roster!C159</f>
        <v>0</v>
      </c>
      <c r="C159" s="55"/>
      <c r="D159" s="56"/>
      <c r="E159" s="57"/>
      <c r="F159" s="57"/>
      <c r="G159" s="57"/>
      <c r="H159" s="57"/>
      <c r="I159" s="57"/>
      <c r="J159" s="57"/>
      <c r="K159" s="45"/>
      <c r="L159" s="58"/>
      <c r="M159" s="56"/>
      <c r="N159" s="57"/>
      <c r="O159" s="57"/>
      <c r="P159" s="57"/>
      <c r="Q159" s="57"/>
      <c r="R159" s="57"/>
      <c r="S159" s="57"/>
      <c r="T159" s="45"/>
      <c r="U159" s="71"/>
      <c r="V159" s="57"/>
      <c r="W159" s="57"/>
      <c r="X159" s="57"/>
      <c r="Y159" s="57"/>
      <c r="Z159" s="57"/>
      <c r="AA159" s="57"/>
      <c r="AB159" s="57"/>
      <c r="AC159" s="57"/>
      <c r="AD159" s="71"/>
      <c r="AE159" s="57"/>
      <c r="AF159" s="57"/>
      <c r="AG159" s="57"/>
      <c r="AH159" s="57"/>
      <c r="AI159" s="57"/>
      <c r="AJ159" s="57"/>
      <c r="AK159" s="57"/>
      <c r="AL159" s="57"/>
      <c r="AM159" s="71"/>
      <c r="AN159" s="57"/>
      <c r="AO159" s="57"/>
      <c r="AP159" s="57"/>
      <c r="AQ159" s="57"/>
      <c r="AR159" s="57"/>
      <c r="AS159" s="57"/>
      <c r="AT159" s="57"/>
      <c r="AU159" s="57"/>
      <c r="AV159" s="71"/>
      <c r="AW159" s="57"/>
      <c r="AX159" s="55"/>
      <c r="AY159" s="55"/>
      <c r="AZ159" s="55"/>
      <c r="BA159" s="55"/>
      <c r="BB159" s="55"/>
      <c r="BC159" s="55"/>
      <c r="BD159" s="57"/>
    </row>
    <row r="160" spans="1:56">
      <c r="A160" s="12" t="str">
        <f>Roster!A160</f>
        <v/>
      </c>
      <c r="B160" s="28">
        <f>Roster!C160</f>
        <v>0</v>
      </c>
      <c r="C160" s="55"/>
      <c r="D160" s="56"/>
      <c r="E160" s="57"/>
      <c r="F160" s="57"/>
      <c r="G160" s="57"/>
      <c r="H160" s="57"/>
      <c r="I160" s="57"/>
      <c r="J160" s="57"/>
      <c r="K160" s="45"/>
      <c r="L160" s="58"/>
      <c r="M160" s="56"/>
      <c r="N160" s="57"/>
      <c r="O160" s="57"/>
      <c r="P160" s="57"/>
      <c r="Q160" s="57"/>
      <c r="R160" s="57"/>
      <c r="S160" s="57"/>
      <c r="T160" s="45"/>
      <c r="U160" s="71"/>
      <c r="V160" s="57"/>
      <c r="W160" s="57"/>
      <c r="X160" s="57"/>
      <c r="Y160" s="57"/>
      <c r="Z160" s="57"/>
      <c r="AA160" s="57"/>
      <c r="AB160" s="57"/>
      <c r="AC160" s="57"/>
      <c r="AD160" s="71"/>
      <c r="AE160" s="57"/>
      <c r="AF160" s="57"/>
      <c r="AG160" s="57"/>
      <c r="AH160" s="57"/>
      <c r="AI160" s="57"/>
      <c r="AJ160" s="57"/>
      <c r="AK160" s="57"/>
      <c r="AL160" s="57"/>
      <c r="AM160" s="71"/>
      <c r="AN160" s="57"/>
      <c r="AO160" s="57"/>
      <c r="AP160" s="57"/>
      <c r="AQ160" s="57"/>
      <c r="AR160" s="57"/>
      <c r="AS160" s="57"/>
      <c r="AT160" s="57"/>
      <c r="AU160" s="57"/>
      <c r="AV160" s="71"/>
      <c r="AW160" s="57"/>
      <c r="AX160" s="55"/>
      <c r="AY160" s="55"/>
      <c r="AZ160" s="55"/>
      <c r="BA160" s="55"/>
      <c r="BB160" s="55"/>
      <c r="BC160" s="55"/>
      <c r="BD160" s="57"/>
    </row>
    <row r="161" spans="1:56">
      <c r="A161" s="12" t="str">
        <f>Roster!A161</f>
        <v/>
      </c>
      <c r="B161" s="28">
        <f>Roster!C161</f>
        <v>0</v>
      </c>
      <c r="C161" s="55"/>
      <c r="D161" s="56"/>
      <c r="E161" s="57"/>
      <c r="F161" s="57"/>
      <c r="G161" s="57"/>
      <c r="H161" s="57"/>
      <c r="I161" s="57"/>
      <c r="J161" s="57"/>
      <c r="K161" s="45"/>
      <c r="L161" s="58"/>
      <c r="M161" s="56"/>
      <c r="N161" s="57"/>
      <c r="O161" s="57"/>
      <c r="P161" s="57"/>
      <c r="Q161" s="57"/>
      <c r="R161" s="57"/>
      <c r="S161" s="57"/>
      <c r="T161" s="45"/>
      <c r="U161" s="71"/>
      <c r="V161" s="57"/>
      <c r="W161" s="57"/>
      <c r="X161" s="57"/>
      <c r="Y161" s="57"/>
      <c r="Z161" s="57"/>
      <c r="AA161" s="57"/>
      <c r="AB161" s="57"/>
      <c r="AC161" s="57"/>
      <c r="AD161" s="71"/>
      <c r="AE161" s="57"/>
      <c r="AF161" s="57"/>
      <c r="AG161" s="57"/>
      <c r="AH161" s="57"/>
      <c r="AI161" s="57"/>
      <c r="AJ161" s="57"/>
      <c r="AK161" s="57"/>
      <c r="AL161" s="57"/>
      <c r="AM161" s="71"/>
      <c r="AN161" s="57"/>
      <c r="AO161" s="57"/>
      <c r="AP161" s="57"/>
      <c r="AQ161" s="57"/>
      <c r="AR161" s="57"/>
      <c r="AS161" s="57"/>
      <c r="AT161" s="57"/>
      <c r="AU161" s="57"/>
      <c r="AV161" s="71"/>
      <c r="AW161" s="57"/>
      <c r="AX161" s="55"/>
      <c r="AY161" s="55"/>
      <c r="AZ161" s="55"/>
      <c r="BA161" s="55"/>
      <c r="BB161" s="55"/>
      <c r="BC161" s="55"/>
      <c r="BD161" s="57"/>
    </row>
    <row r="162" spans="1:56">
      <c r="A162" s="12" t="str">
        <f>Roster!A162</f>
        <v/>
      </c>
      <c r="B162" s="28">
        <f>Roster!C162</f>
        <v>0</v>
      </c>
      <c r="C162" s="55"/>
      <c r="D162" s="56"/>
      <c r="E162" s="57"/>
      <c r="F162" s="57"/>
      <c r="G162" s="57"/>
      <c r="H162" s="57"/>
      <c r="I162" s="57"/>
      <c r="J162" s="57"/>
      <c r="K162" s="45"/>
      <c r="L162" s="58"/>
      <c r="M162" s="56"/>
      <c r="N162" s="57"/>
      <c r="O162" s="57"/>
      <c r="P162" s="57"/>
      <c r="Q162" s="57"/>
      <c r="R162" s="57"/>
      <c r="S162" s="57"/>
      <c r="T162" s="45"/>
      <c r="U162" s="71"/>
      <c r="V162" s="57"/>
      <c r="W162" s="57"/>
      <c r="X162" s="57"/>
      <c r="Y162" s="57"/>
      <c r="Z162" s="57"/>
      <c r="AA162" s="57"/>
      <c r="AB162" s="57"/>
      <c r="AC162" s="57"/>
      <c r="AD162" s="71"/>
      <c r="AE162" s="57"/>
      <c r="AF162" s="57"/>
      <c r="AG162" s="57"/>
      <c r="AH162" s="57"/>
      <c r="AI162" s="57"/>
      <c r="AJ162" s="57"/>
      <c r="AK162" s="57"/>
      <c r="AL162" s="57"/>
      <c r="AM162" s="71"/>
      <c r="AN162" s="57"/>
      <c r="AO162" s="57"/>
      <c r="AP162" s="57"/>
      <c r="AQ162" s="57"/>
      <c r="AR162" s="57"/>
      <c r="AS162" s="57"/>
      <c r="AT162" s="57"/>
      <c r="AU162" s="57"/>
      <c r="AV162" s="71"/>
      <c r="AW162" s="57"/>
      <c r="AX162" s="55"/>
      <c r="AY162" s="55"/>
      <c r="AZ162" s="55"/>
      <c r="BA162" s="55"/>
      <c r="BB162" s="55"/>
      <c r="BC162" s="55"/>
      <c r="BD162" s="57"/>
    </row>
    <row r="163" spans="1:56">
      <c r="A163" s="12" t="str">
        <f>Roster!A163</f>
        <v/>
      </c>
      <c r="B163" s="28">
        <f>Roster!C163</f>
        <v>0</v>
      </c>
      <c r="C163" s="55"/>
      <c r="D163" s="56"/>
      <c r="E163" s="57"/>
      <c r="F163" s="57"/>
      <c r="G163" s="57"/>
      <c r="H163" s="57"/>
      <c r="I163" s="57"/>
      <c r="J163" s="57"/>
      <c r="K163" s="45"/>
      <c r="L163" s="58"/>
      <c r="M163" s="56"/>
      <c r="N163" s="57"/>
      <c r="O163" s="57"/>
      <c r="P163" s="57"/>
      <c r="Q163" s="57"/>
      <c r="R163" s="57"/>
      <c r="S163" s="57"/>
      <c r="T163" s="45"/>
      <c r="U163" s="71"/>
      <c r="V163" s="57"/>
      <c r="W163" s="57"/>
      <c r="X163" s="57"/>
      <c r="Y163" s="57"/>
      <c r="Z163" s="57"/>
      <c r="AA163" s="57"/>
      <c r="AB163" s="57"/>
      <c r="AC163" s="57"/>
      <c r="AD163" s="71"/>
      <c r="AE163" s="57"/>
      <c r="AF163" s="57"/>
      <c r="AG163" s="57"/>
      <c r="AH163" s="57"/>
      <c r="AI163" s="57"/>
      <c r="AJ163" s="57"/>
      <c r="AK163" s="57"/>
      <c r="AL163" s="57"/>
      <c r="AM163" s="71"/>
      <c r="AN163" s="57"/>
      <c r="AO163" s="57"/>
      <c r="AP163" s="57"/>
      <c r="AQ163" s="57"/>
      <c r="AR163" s="57"/>
      <c r="AS163" s="57"/>
      <c r="AT163" s="57"/>
      <c r="AU163" s="57"/>
      <c r="AV163" s="71"/>
      <c r="AW163" s="57"/>
      <c r="AX163" s="55"/>
      <c r="AY163" s="55"/>
      <c r="AZ163" s="55"/>
      <c r="BA163" s="55"/>
      <c r="BB163" s="55"/>
      <c r="BC163" s="55"/>
      <c r="BD163" s="57"/>
    </row>
    <row r="164" spans="1:56">
      <c r="A164" s="12" t="str">
        <f>Roster!A164</f>
        <v/>
      </c>
      <c r="B164" s="28">
        <f>Roster!C164</f>
        <v>0</v>
      </c>
      <c r="C164" s="55"/>
      <c r="D164" s="56"/>
      <c r="E164" s="57"/>
      <c r="F164" s="57"/>
      <c r="G164" s="57"/>
      <c r="H164" s="57"/>
      <c r="I164" s="57"/>
      <c r="J164" s="57"/>
      <c r="K164" s="45"/>
      <c r="L164" s="58"/>
      <c r="M164" s="56"/>
      <c r="N164" s="57"/>
      <c r="O164" s="57"/>
      <c r="P164" s="57"/>
      <c r="Q164" s="57"/>
      <c r="R164" s="57"/>
      <c r="S164" s="57"/>
      <c r="T164" s="45"/>
      <c r="U164" s="71"/>
      <c r="V164" s="57"/>
      <c r="W164" s="57"/>
      <c r="X164" s="57"/>
      <c r="Y164" s="57"/>
      <c r="Z164" s="57"/>
      <c r="AA164" s="57"/>
      <c r="AB164" s="57"/>
      <c r="AC164" s="57"/>
      <c r="AD164" s="71"/>
      <c r="AE164" s="57"/>
      <c r="AF164" s="57"/>
      <c r="AG164" s="57"/>
      <c r="AH164" s="57"/>
      <c r="AI164" s="57"/>
      <c r="AJ164" s="57"/>
      <c r="AK164" s="57"/>
      <c r="AL164" s="57"/>
      <c r="AM164" s="71"/>
      <c r="AN164" s="57"/>
      <c r="AO164" s="57"/>
      <c r="AP164" s="57"/>
      <c r="AQ164" s="57"/>
      <c r="AR164" s="57"/>
      <c r="AS164" s="57"/>
      <c r="AT164" s="57"/>
      <c r="AU164" s="57"/>
      <c r="AV164" s="71"/>
      <c r="AW164" s="57"/>
      <c r="AX164" s="55"/>
      <c r="AY164" s="55"/>
      <c r="AZ164" s="55"/>
      <c r="BA164" s="55"/>
      <c r="BB164" s="55"/>
      <c r="BC164" s="55"/>
      <c r="BD164" s="57"/>
    </row>
    <row r="165" spans="1:56">
      <c r="A165" s="12" t="str">
        <f>Roster!A165</f>
        <v/>
      </c>
      <c r="B165" s="28">
        <f>Roster!C165</f>
        <v>0</v>
      </c>
      <c r="C165" s="55"/>
      <c r="D165" s="56"/>
      <c r="E165" s="57"/>
      <c r="F165" s="57"/>
      <c r="G165" s="57"/>
      <c r="H165" s="57"/>
      <c r="I165" s="57"/>
      <c r="J165" s="57"/>
      <c r="K165" s="45"/>
      <c r="L165" s="58"/>
      <c r="M165" s="56"/>
      <c r="N165" s="57"/>
      <c r="O165" s="57"/>
      <c r="P165" s="57"/>
      <c r="Q165" s="57"/>
      <c r="R165" s="57"/>
      <c r="S165" s="57"/>
      <c r="T165" s="45"/>
      <c r="U165" s="71"/>
      <c r="V165" s="57"/>
      <c r="W165" s="57"/>
      <c r="X165" s="57"/>
      <c r="Y165" s="57"/>
      <c r="Z165" s="57"/>
      <c r="AA165" s="57"/>
      <c r="AB165" s="57"/>
      <c r="AC165" s="57"/>
      <c r="AD165" s="71"/>
      <c r="AE165" s="57"/>
      <c r="AF165" s="57"/>
      <c r="AG165" s="57"/>
      <c r="AH165" s="57"/>
      <c r="AI165" s="57"/>
      <c r="AJ165" s="57"/>
      <c r="AK165" s="57"/>
      <c r="AL165" s="57"/>
      <c r="AM165" s="71"/>
      <c r="AN165" s="57"/>
      <c r="AO165" s="57"/>
      <c r="AP165" s="57"/>
      <c r="AQ165" s="57"/>
      <c r="AR165" s="57"/>
      <c r="AS165" s="57"/>
      <c r="AT165" s="57"/>
      <c r="AU165" s="57"/>
      <c r="AV165" s="71"/>
      <c r="AW165" s="57"/>
      <c r="AX165" s="55"/>
      <c r="AY165" s="55"/>
      <c r="AZ165" s="55"/>
      <c r="BA165" s="55"/>
      <c r="BB165" s="55"/>
      <c r="BC165" s="55"/>
      <c r="BD165" s="57"/>
    </row>
    <row r="166" spans="1:56">
      <c r="A166" s="12" t="str">
        <f>Roster!A166</f>
        <v/>
      </c>
      <c r="B166" s="28">
        <f>Roster!C166</f>
        <v>0</v>
      </c>
      <c r="C166" s="55"/>
      <c r="D166" s="56"/>
      <c r="E166" s="57"/>
      <c r="F166" s="57"/>
      <c r="G166" s="57"/>
      <c r="H166" s="57"/>
      <c r="I166" s="57"/>
      <c r="J166" s="57"/>
      <c r="K166" s="45"/>
      <c r="L166" s="58"/>
      <c r="M166" s="56"/>
      <c r="N166" s="57"/>
      <c r="O166" s="57"/>
      <c r="P166" s="57"/>
      <c r="Q166" s="57"/>
      <c r="R166" s="57"/>
      <c r="S166" s="57"/>
      <c r="T166" s="45"/>
      <c r="U166" s="71"/>
      <c r="V166" s="57"/>
      <c r="W166" s="57"/>
      <c r="X166" s="57"/>
      <c r="Y166" s="57"/>
      <c r="Z166" s="57"/>
      <c r="AA166" s="57"/>
      <c r="AB166" s="57"/>
      <c r="AC166" s="57"/>
      <c r="AD166" s="71"/>
      <c r="AE166" s="57"/>
      <c r="AF166" s="57"/>
      <c r="AG166" s="57"/>
      <c r="AH166" s="57"/>
      <c r="AI166" s="57"/>
      <c r="AJ166" s="57"/>
      <c r="AK166" s="57"/>
      <c r="AL166" s="57"/>
      <c r="AM166" s="71"/>
      <c r="AN166" s="57"/>
      <c r="AO166" s="57"/>
      <c r="AP166" s="57"/>
      <c r="AQ166" s="57"/>
      <c r="AR166" s="57"/>
      <c r="AS166" s="57"/>
      <c r="AT166" s="57"/>
      <c r="AU166" s="57"/>
      <c r="AV166" s="71"/>
      <c r="AW166" s="57"/>
      <c r="AX166" s="55"/>
      <c r="AY166" s="55"/>
      <c r="AZ166" s="55"/>
      <c r="BA166" s="55"/>
      <c r="BB166" s="55"/>
      <c r="BC166" s="55"/>
      <c r="BD166" s="57"/>
    </row>
    <row r="167" spans="1:56">
      <c r="A167" s="12" t="str">
        <f>Roster!A167</f>
        <v/>
      </c>
      <c r="B167" s="28">
        <f>Roster!C167</f>
        <v>0</v>
      </c>
      <c r="C167" s="55"/>
      <c r="D167" s="56"/>
      <c r="E167" s="57"/>
      <c r="F167" s="57"/>
      <c r="G167" s="57"/>
      <c r="H167" s="57"/>
      <c r="I167" s="57"/>
      <c r="J167" s="57"/>
      <c r="K167" s="45"/>
      <c r="L167" s="58"/>
      <c r="M167" s="56"/>
      <c r="N167" s="57"/>
      <c r="O167" s="57"/>
      <c r="P167" s="57"/>
      <c r="Q167" s="57"/>
      <c r="R167" s="57"/>
      <c r="S167" s="57"/>
      <c r="T167" s="45"/>
      <c r="U167" s="71"/>
      <c r="V167" s="57"/>
      <c r="W167" s="57"/>
      <c r="X167" s="57"/>
      <c r="Y167" s="57"/>
      <c r="Z167" s="57"/>
      <c r="AA167" s="57"/>
      <c r="AB167" s="57"/>
      <c r="AC167" s="57"/>
      <c r="AD167" s="71"/>
      <c r="AE167" s="57"/>
      <c r="AF167" s="57"/>
      <c r="AG167" s="57"/>
      <c r="AH167" s="57"/>
      <c r="AI167" s="57"/>
      <c r="AJ167" s="57"/>
      <c r="AK167" s="57"/>
      <c r="AL167" s="57"/>
      <c r="AM167" s="71"/>
      <c r="AN167" s="57"/>
      <c r="AO167" s="57"/>
      <c r="AP167" s="57"/>
      <c r="AQ167" s="57"/>
      <c r="AR167" s="57"/>
      <c r="AS167" s="57"/>
      <c r="AT167" s="57"/>
      <c r="AU167" s="57"/>
      <c r="AV167" s="71"/>
      <c r="AW167" s="57"/>
      <c r="AX167" s="55"/>
      <c r="AY167" s="55"/>
      <c r="AZ167" s="55"/>
      <c r="BA167" s="55"/>
      <c r="BB167" s="55"/>
      <c r="BC167" s="55"/>
      <c r="BD167" s="57"/>
    </row>
    <row r="168" spans="1:56">
      <c r="A168" s="12" t="str">
        <f>Roster!A168</f>
        <v/>
      </c>
      <c r="B168" s="28">
        <f>Roster!C168</f>
        <v>0</v>
      </c>
      <c r="C168" s="55"/>
      <c r="D168" s="56"/>
      <c r="E168" s="57"/>
      <c r="F168" s="57"/>
      <c r="G168" s="57"/>
      <c r="H168" s="57"/>
      <c r="I168" s="57"/>
      <c r="J168" s="57"/>
      <c r="K168" s="45"/>
      <c r="L168" s="58"/>
      <c r="M168" s="56"/>
      <c r="N168" s="57"/>
      <c r="O168" s="57"/>
      <c r="P168" s="57"/>
      <c r="Q168" s="57"/>
      <c r="R168" s="57"/>
      <c r="S168" s="57"/>
      <c r="T168" s="45"/>
      <c r="U168" s="71"/>
      <c r="V168" s="57"/>
      <c r="W168" s="57"/>
      <c r="X168" s="57"/>
      <c r="Y168" s="57"/>
      <c r="Z168" s="57"/>
      <c r="AA168" s="57"/>
      <c r="AB168" s="57"/>
      <c r="AC168" s="57"/>
      <c r="AD168" s="71"/>
      <c r="AE168" s="57"/>
      <c r="AF168" s="57"/>
      <c r="AG168" s="57"/>
      <c r="AH168" s="57"/>
      <c r="AI168" s="57"/>
      <c r="AJ168" s="57"/>
      <c r="AK168" s="57"/>
      <c r="AL168" s="57"/>
      <c r="AM168" s="71"/>
      <c r="AN168" s="57"/>
      <c r="AO168" s="57"/>
      <c r="AP168" s="57"/>
      <c r="AQ168" s="57"/>
      <c r="AR168" s="57"/>
      <c r="AS168" s="57"/>
      <c r="AT168" s="57"/>
      <c r="AU168" s="57"/>
      <c r="AV168" s="71"/>
      <c r="AW168" s="57"/>
      <c r="AX168" s="55"/>
      <c r="AY168" s="55"/>
      <c r="AZ168" s="55"/>
      <c r="BA168" s="55"/>
      <c r="BB168" s="55"/>
      <c r="BC168" s="55"/>
      <c r="BD168" s="57"/>
    </row>
    <row r="169" spans="1:56">
      <c r="A169" s="12" t="str">
        <f>Roster!A169</f>
        <v/>
      </c>
      <c r="B169" s="28">
        <f>Roster!C169</f>
        <v>0</v>
      </c>
      <c r="C169" s="55"/>
      <c r="D169" s="56"/>
      <c r="E169" s="57"/>
      <c r="F169" s="57"/>
      <c r="G169" s="57"/>
      <c r="H169" s="57"/>
      <c r="I169" s="57"/>
      <c r="J169" s="57"/>
      <c r="K169" s="45"/>
      <c r="L169" s="58"/>
      <c r="M169" s="56"/>
      <c r="N169" s="57"/>
      <c r="O169" s="57"/>
      <c r="P169" s="57"/>
      <c r="Q169" s="57"/>
      <c r="R169" s="57"/>
      <c r="S169" s="57"/>
      <c r="T169" s="45"/>
      <c r="U169" s="71"/>
      <c r="V169" s="57"/>
      <c r="W169" s="57"/>
      <c r="X169" s="57"/>
      <c r="Y169" s="57"/>
      <c r="Z169" s="57"/>
      <c r="AA169" s="57"/>
      <c r="AB169" s="57"/>
      <c r="AC169" s="57"/>
      <c r="AD169" s="71"/>
      <c r="AE169" s="57"/>
      <c r="AF169" s="57"/>
      <c r="AG169" s="57"/>
      <c r="AH169" s="57"/>
      <c r="AI169" s="57"/>
      <c r="AJ169" s="57"/>
      <c r="AK169" s="57"/>
      <c r="AL169" s="57"/>
      <c r="AM169" s="71"/>
      <c r="AN169" s="57"/>
      <c r="AO169" s="57"/>
      <c r="AP169" s="57"/>
      <c r="AQ169" s="57"/>
      <c r="AR169" s="57"/>
      <c r="AS169" s="57"/>
      <c r="AT169" s="57"/>
      <c r="AU169" s="57"/>
      <c r="AV169" s="71"/>
      <c r="AW169" s="57"/>
      <c r="AX169" s="55"/>
      <c r="AY169" s="55"/>
      <c r="AZ169" s="55"/>
      <c r="BA169" s="55"/>
      <c r="BB169" s="55"/>
      <c r="BC169" s="55"/>
      <c r="BD169" s="57"/>
    </row>
    <row r="170" spans="1:56">
      <c r="A170" s="12" t="str">
        <f>Roster!A170</f>
        <v/>
      </c>
      <c r="B170" s="28">
        <f>Roster!C170</f>
        <v>0</v>
      </c>
      <c r="C170" s="55"/>
      <c r="D170" s="56"/>
      <c r="E170" s="57"/>
      <c r="F170" s="57"/>
      <c r="G170" s="57"/>
      <c r="H170" s="57"/>
      <c r="I170" s="57"/>
      <c r="J170" s="57"/>
      <c r="K170" s="45"/>
      <c r="L170" s="58"/>
      <c r="M170" s="56"/>
      <c r="N170" s="57"/>
      <c r="O170" s="57"/>
      <c r="P170" s="57"/>
      <c r="Q170" s="57"/>
      <c r="R170" s="57"/>
      <c r="S170" s="57"/>
      <c r="T170" s="45"/>
      <c r="U170" s="71"/>
      <c r="V170" s="57"/>
      <c r="W170" s="57"/>
      <c r="X170" s="57"/>
      <c r="Y170" s="57"/>
      <c r="Z170" s="57"/>
      <c r="AA170" s="57"/>
      <c r="AB170" s="57"/>
      <c r="AC170" s="57"/>
      <c r="AD170" s="71"/>
      <c r="AE170" s="57"/>
      <c r="AF170" s="57"/>
      <c r="AG170" s="57"/>
      <c r="AH170" s="57"/>
      <c r="AI170" s="57"/>
      <c r="AJ170" s="57"/>
      <c r="AK170" s="57"/>
      <c r="AL170" s="57"/>
      <c r="AM170" s="71"/>
      <c r="AN170" s="57"/>
      <c r="AO170" s="57"/>
      <c r="AP170" s="57"/>
      <c r="AQ170" s="57"/>
      <c r="AR170" s="57"/>
      <c r="AS170" s="57"/>
      <c r="AT170" s="57"/>
      <c r="AU170" s="57"/>
      <c r="AV170" s="71"/>
      <c r="AW170" s="57"/>
      <c r="AX170" s="55"/>
      <c r="AY170" s="55"/>
      <c r="AZ170" s="55"/>
      <c r="BA170" s="55"/>
      <c r="BB170" s="55"/>
      <c r="BC170" s="55"/>
      <c r="BD170" s="57"/>
    </row>
    <row r="171" spans="1:56">
      <c r="A171" s="12" t="str">
        <f>Roster!A171</f>
        <v/>
      </c>
      <c r="B171" s="28">
        <f>Roster!C171</f>
        <v>0</v>
      </c>
      <c r="C171" s="55"/>
      <c r="D171" s="56"/>
      <c r="E171" s="57"/>
      <c r="F171" s="57"/>
      <c r="G171" s="57"/>
      <c r="H171" s="57"/>
      <c r="I171" s="57"/>
      <c r="J171" s="57"/>
      <c r="K171" s="45"/>
      <c r="L171" s="58"/>
      <c r="M171" s="56"/>
      <c r="N171" s="57"/>
      <c r="O171" s="57"/>
      <c r="P171" s="57"/>
      <c r="Q171" s="57"/>
      <c r="R171" s="57"/>
      <c r="S171" s="57"/>
      <c r="T171" s="45"/>
      <c r="U171" s="71"/>
      <c r="V171" s="57"/>
      <c r="W171" s="57"/>
      <c r="X171" s="57"/>
      <c r="Y171" s="57"/>
      <c r="Z171" s="57"/>
      <c r="AA171" s="57"/>
      <c r="AB171" s="57"/>
      <c r="AC171" s="57"/>
      <c r="AD171" s="71"/>
      <c r="AE171" s="57"/>
      <c r="AF171" s="57"/>
      <c r="AG171" s="57"/>
      <c r="AH171" s="57"/>
      <c r="AI171" s="57"/>
      <c r="AJ171" s="57"/>
      <c r="AK171" s="57"/>
      <c r="AL171" s="57"/>
      <c r="AM171" s="71"/>
      <c r="AN171" s="57"/>
      <c r="AO171" s="57"/>
      <c r="AP171" s="57"/>
      <c r="AQ171" s="57"/>
      <c r="AR171" s="57"/>
      <c r="AS171" s="57"/>
      <c r="AT171" s="57"/>
      <c r="AU171" s="57"/>
      <c r="AV171" s="71"/>
      <c r="AW171" s="57"/>
      <c r="AX171" s="55"/>
      <c r="AY171" s="55"/>
      <c r="AZ171" s="55"/>
      <c r="BA171" s="55"/>
      <c r="BB171" s="55"/>
      <c r="BC171" s="55"/>
      <c r="BD171" s="57"/>
    </row>
    <row r="172" spans="1:56">
      <c r="A172" s="12" t="str">
        <f>Roster!A172</f>
        <v/>
      </c>
      <c r="B172" s="28">
        <f>Roster!C172</f>
        <v>0</v>
      </c>
      <c r="C172" s="55"/>
      <c r="D172" s="56"/>
      <c r="E172" s="57"/>
      <c r="F172" s="57"/>
      <c r="G172" s="57"/>
      <c r="H172" s="57"/>
      <c r="I172" s="57"/>
      <c r="J172" s="57"/>
      <c r="K172" s="45"/>
      <c r="L172" s="58"/>
      <c r="M172" s="56"/>
      <c r="N172" s="57"/>
      <c r="O172" s="57"/>
      <c r="P172" s="57"/>
      <c r="Q172" s="57"/>
      <c r="R172" s="57"/>
      <c r="S172" s="57"/>
      <c r="T172" s="45"/>
      <c r="U172" s="71"/>
      <c r="V172" s="57"/>
      <c r="W172" s="57"/>
      <c r="X172" s="57"/>
      <c r="Y172" s="57"/>
      <c r="Z172" s="57"/>
      <c r="AA172" s="57"/>
      <c r="AB172" s="57"/>
      <c r="AC172" s="57"/>
      <c r="AD172" s="71"/>
      <c r="AE172" s="57"/>
      <c r="AF172" s="57"/>
      <c r="AG172" s="57"/>
      <c r="AH172" s="57"/>
      <c r="AI172" s="57"/>
      <c r="AJ172" s="57"/>
      <c r="AK172" s="57"/>
      <c r="AL172" s="57"/>
      <c r="AM172" s="71"/>
      <c r="AN172" s="57"/>
      <c r="AO172" s="57"/>
      <c r="AP172" s="57"/>
      <c r="AQ172" s="57"/>
      <c r="AR172" s="57"/>
      <c r="AS172" s="57"/>
      <c r="AT172" s="57"/>
      <c r="AU172" s="57"/>
      <c r="AV172" s="71"/>
      <c r="AW172" s="57"/>
      <c r="AX172" s="55"/>
      <c r="AY172" s="55"/>
      <c r="AZ172" s="55"/>
      <c r="BA172" s="55"/>
      <c r="BB172" s="55"/>
      <c r="BC172" s="55"/>
      <c r="BD172" s="57"/>
    </row>
    <row r="173" spans="1:56">
      <c r="A173" s="12" t="str">
        <f>Roster!A173</f>
        <v/>
      </c>
      <c r="B173" s="28">
        <f>Roster!C173</f>
        <v>0</v>
      </c>
      <c r="C173" s="55"/>
      <c r="D173" s="56"/>
      <c r="E173" s="57"/>
      <c r="F173" s="57"/>
      <c r="G173" s="57"/>
      <c r="H173" s="57"/>
      <c r="I173" s="57"/>
      <c r="J173" s="57"/>
      <c r="K173" s="45"/>
      <c r="L173" s="58"/>
      <c r="M173" s="56"/>
      <c r="N173" s="57"/>
      <c r="O173" s="57"/>
      <c r="P173" s="57"/>
      <c r="Q173" s="57"/>
      <c r="R173" s="57"/>
      <c r="S173" s="57"/>
      <c r="T173" s="45"/>
      <c r="U173" s="71"/>
      <c r="V173" s="57"/>
      <c r="W173" s="57"/>
      <c r="X173" s="57"/>
      <c r="Y173" s="57"/>
      <c r="Z173" s="57"/>
      <c r="AA173" s="57"/>
      <c r="AB173" s="57"/>
      <c r="AC173" s="57"/>
      <c r="AD173" s="71"/>
      <c r="AE173" s="57"/>
      <c r="AF173" s="57"/>
      <c r="AG173" s="57"/>
      <c r="AH173" s="57"/>
      <c r="AI173" s="57"/>
      <c r="AJ173" s="57"/>
      <c r="AK173" s="57"/>
      <c r="AL173" s="57"/>
      <c r="AM173" s="71"/>
      <c r="AN173" s="57"/>
      <c r="AO173" s="57"/>
      <c r="AP173" s="57"/>
      <c r="AQ173" s="57"/>
      <c r="AR173" s="57"/>
      <c r="AS173" s="57"/>
      <c r="AT173" s="57"/>
      <c r="AU173" s="57"/>
      <c r="AV173" s="71"/>
      <c r="AW173" s="57"/>
      <c r="AX173" s="55"/>
      <c r="AY173" s="55"/>
      <c r="AZ173" s="55"/>
      <c r="BA173" s="55"/>
      <c r="BB173" s="55"/>
      <c r="BC173" s="55"/>
      <c r="BD173" s="57"/>
    </row>
    <row r="174" spans="1:56">
      <c r="A174" s="12" t="str">
        <f>Roster!A174</f>
        <v/>
      </c>
      <c r="B174" s="28">
        <f>Roster!C174</f>
        <v>0</v>
      </c>
      <c r="C174" s="55"/>
      <c r="D174" s="56"/>
      <c r="E174" s="57"/>
      <c r="F174" s="57"/>
      <c r="G174" s="57"/>
      <c r="H174" s="57"/>
      <c r="I174" s="57"/>
      <c r="J174" s="57"/>
      <c r="K174" s="45"/>
      <c r="L174" s="58"/>
      <c r="M174" s="56"/>
      <c r="N174" s="57"/>
      <c r="O174" s="57"/>
      <c r="P174" s="57"/>
      <c r="Q174" s="57"/>
      <c r="R174" s="57"/>
      <c r="S174" s="57"/>
      <c r="T174" s="45"/>
      <c r="U174" s="71"/>
      <c r="V174" s="57"/>
      <c r="W174" s="57"/>
      <c r="X174" s="57"/>
      <c r="Y174" s="57"/>
      <c r="Z174" s="57"/>
      <c r="AA174" s="57"/>
      <c r="AB174" s="57"/>
      <c r="AC174" s="57"/>
      <c r="AD174" s="71"/>
      <c r="AE174" s="57"/>
      <c r="AF174" s="57"/>
      <c r="AG174" s="57"/>
      <c r="AH174" s="57"/>
      <c r="AI174" s="57"/>
      <c r="AJ174" s="57"/>
      <c r="AK174" s="57"/>
      <c r="AL174" s="57"/>
      <c r="AM174" s="71"/>
      <c r="AN174" s="57"/>
      <c r="AO174" s="57"/>
      <c r="AP174" s="57"/>
      <c r="AQ174" s="57"/>
      <c r="AR174" s="57"/>
      <c r="AS174" s="57"/>
      <c r="AT174" s="57"/>
      <c r="AU174" s="57"/>
      <c r="AV174" s="71"/>
      <c r="AW174" s="57"/>
      <c r="AX174" s="55"/>
      <c r="AY174" s="55"/>
      <c r="AZ174" s="55"/>
      <c r="BA174" s="55"/>
      <c r="BB174" s="55"/>
      <c r="BC174" s="55"/>
      <c r="BD174" s="57"/>
    </row>
    <row r="175" spans="1:56">
      <c r="A175" s="12" t="str">
        <f>Roster!A175</f>
        <v/>
      </c>
      <c r="B175" s="28">
        <f>Roster!C175</f>
        <v>0</v>
      </c>
      <c r="C175" s="55"/>
      <c r="D175" s="56"/>
      <c r="E175" s="57"/>
      <c r="F175" s="57"/>
      <c r="G175" s="57"/>
      <c r="H175" s="57"/>
      <c r="I175" s="57"/>
      <c r="J175" s="57"/>
      <c r="K175" s="45"/>
      <c r="L175" s="58"/>
      <c r="M175" s="56"/>
      <c r="N175" s="57"/>
      <c r="O175" s="57"/>
      <c r="P175" s="57"/>
      <c r="Q175" s="57"/>
      <c r="R175" s="57"/>
      <c r="S175" s="57"/>
      <c r="T175" s="45"/>
      <c r="U175" s="71"/>
      <c r="V175" s="57"/>
      <c r="W175" s="57"/>
      <c r="X175" s="57"/>
      <c r="Y175" s="57"/>
      <c r="Z175" s="57"/>
      <c r="AA175" s="57"/>
      <c r="AB175" s="57"/>
      <c r="AC175" s="57"/>
      <c r="AD175" s="71"/>
      <c r="AE175" s="57"/>
      <c r="AF175" s="57"/>
      <c r="AG175" s="57"/>
      <c r="AH175" s="57"/>
      <c r="AI175" s="57"/>
      <c r="AJ175" s="57"/>
      <c r="AK175" s="57"/>
      <c r="AL175" s="57"/>
      <c r="AM175" s="71"/>
      <c r="AN175" s="57"/>
      <c r="AO175" s="57"/>
      <c r="AP175" s="57"/>
      <c r="AQ175" s="57"/>
      <c r="AR175" s="57"/>
      <c r="AS175" s="57"/>
      <c r="AT175" s="57"/>
      <c r="AU175" s="57"/>
      <c r="AV175" s="71"/>
      <c r="AW175" s="57"/>
      <c r="AX175" s="55"/>
      <c r="AY175" s="55"/>
      <c r="AZ175" s="55"/>
      <c r="BA175" s="55"/>
      <c r="BB175" s="55"/>
      <c r="BC175" s="55"/>
      <c r="BD175" s="57"/>
    </row>
    <row r="176" spans="1:56">
      <c r="A176" s="12" t="str">
        <f>Roster!A176</f>
        <v/>
      </c>
      <c r="B176" s="28">
        <f>Roster!C176</f>
        <v>0</v>
      </c>
      <c r="C176" s="55"/>
      <c r="D176" s="56"/>
      <c r="E176" s="57"/>
      <c r="F176" s="57"/>
      <c r="G176" s="57"/>
      <c r="H176" s="57"/>
      <c r="I176" s="57"/>
      <c r="J176" s="57"/>
      <c r="K176" s="45"/>
      <c r="L176" s="58"/>
      <c r="M176" s="56"/>
      <c r="N176" s="57"/>
      <c r="O176" s="57"/>
      <c r="P176" s="57"/>
      <c r="Q176" s="57"/>
      <c r="R176" s="57"/>
      <c r="S176" s="57"/>
      <c r="T176" s="45"/>
      <c r="U176" s="71"/>
      <c r="V176" s="57"/>
      <c r="W176" s="57"/>
      <c r="X176" s="57"/>
      <c r="Y176" s="57"/>
      <c r="Z176" s="57"/>
      <c r="AA176" s="57"/>
      <c r="AB176" s="57"/>
      <c r="AC176" s="57"/>
      <c r="AD176" s="71"/>
      <c r="AE176" s="57"/>
      <c r="AF176" s="57"/>
      <c r="AG176" s="57"/>
      <c r="AH176" s="57"/>
      <c r="AI176" s="57"/>
      <c r="AJ176" s="57"/>
      <c r="AK176" s="57"/>
      <c r="AL176" s="57"/>
      <c r="AM176" s="71"/>
      <c r="AN176" s="57"/>
      <c r="AO176" s="57"/>
      <c r="AP176" s="57"/>
      <c r="AQ176" s="57"/>
      <c r="AR176" s="57"/>
      <c r="AS176" s="57"/>
      <c r="AT176" s="57"/>
      <c r="AU176" s="57"/>
      <c r="AV176" s="71"/>
      <c r="AW176" s="57"/>
      <c r="AX176" s="55"/>
      <c r="AY176" s="55"/>
      <c r="AZ176" s="55"/>
      <c r="BA176" s="55"/>
      <c r="BB176" s="55"/>
      <c r="BC176" s="55"/>
      <c r="BD176" s="57"/>
    </row>
    <row r="177" spans="1:56">
      <c r="A177" s="12" t="str">
        <f>Roster!A177</f>
        <v/>
      </c>
      <c r="B177" s="28">
        <f>Roster!C177</f>
        <v>0</v>
      </c>
      <c r="C177" s="55"/>
      <c r="D177" s="56"/>
      <c r="E177" s="57"/>
      <c r="F177" s="57"/>
      <c r="G177" s="57"/>
      <c r="H177" s="57"/>
      <c r="I177" s="57"/>
      <c r="J177" s="57"/>
      <c r="K177" s="45"/>
      <c r="L177" s="58"/>
      <c r="M177" s="56"/>
      <c r="N177" s="57"/>
      <c r="O177" s="57"/>
      <c r="P177" s="57"/>
      <c r="Q177" s="57"/>
      <c r="R177" s="57"/>
      <c r="S177" s="57"/>
      <c r="T177" s="45"/>
      <c r="U177" s="71"/>
      <c r="V177" s="57"/>
      <c r="W177" s="57"/>
      <c r="X177" s="57"/>
      <c r="Y177" s="57"/>
      <c r="Z177" s="57"/>
      <c r="AA177" s="57"/>
      <c r="AB177" s="57"/>
      <c r="AC177" s="57"/>
      <c r="AD177" s="71"/>
      <c r="AE177" s="57"/>
      <c r="AF177" s="57"/>
      <c r="AG177" s="57"/>
      <c r="AH177" s="57"/>
      <c r="AI177" s="57"/>
      <c r="AJ177" s="57"/>
      <c r="AK177" s="57"/>
      <c r="AL177" s="57"/>
      <c r="AM177" s="71"/>
      <c r="AN177" s="57"/>
      <c r="AO177" s="57"/>
      <c r="AP177" s="57"/>
      <c r="AQ177" s="57"/>
      <c r="AR177" s="57"/>
      <c r="AS177" s="57"/>
      <c r="AT177" s="57"/>
      <c r="AU177" s="57"/>
      <c r="AV177" s="71"/>
      <c r="AW177" s="57"/>
      <c r="AX177" s="55"/>
      <c r="AY177" s="55"/>
      <c r="AZ177" s="55"/>
      <c r="BA177" s="55"/>
      <c r="BB177" s="55"/>
      <c r="BC177" s="55"/>
      <c r="BD177" s="57"/>
    </row>
    <row r="178" spans="1:56">
      <c r="A178" s="12" t="str">
        <f>Roster!A178</f>
        <v/>
      </c>
      <c r="B178" s="28">
        <f>Roster!C178</f>
        <v>0</v>
      </c>
      <c r="C178" s="55"/>
      <c r="D178" s="56"/>
      <c r="E178" s="57"/>
      <c r="F178" s="57"/>
      <c r="G178" s="57"/>
      <c r="H178" s="57"/>
      <c r="I178" s="57"/>
      <c r="J178" s="57"/>
      <c r="K178" s="45"/>
      <c r="L178" s="58"/>
      <c r="M178" s="56"/>
      <c r="N178" s="57"/>
      <c r="O178" s="57"/>
      <c r="P178" s="57"/>
      <c r="Q178" s="57"/>
      <c r="R178" s="57"/>
      <c r="S178" s="57"/>
      <c r="T178" s="45"/>
      <c r="U178" s="71"/>
      <c r="V178" s="57"/>
      <c r="W178" s="57"/>
      <c r="X178" s="57"/>
      <c r="Y178" s="57"/>
      <c r="Z178" s="57"/>
      <c r="AA178" s="57"/>
      <c r="AB178" s="57"/>
      <c r="AC178" s="57"/>
      <c r="AD178" s="71"/>
      <c r="AE178" s="57"/>
      <c r="AF178" s="57"/>
      <c r="AG178" s="57"/>
      <c r="AH178" s="57"/>
      <c r="AI178" s="57"/>
      <c r="AJ178" s="57"/>
      <c r="AK178" s="57"/>
      <c r="AL178" s="57"/>
      <c r="AM178" s="71"/>
      <c r="AN178" s="57"/>
      <c r="AO178" s="57"/>
      <c r="AP178" s="57"/>
      <c r="AQ178" s="57"/>
      <c r="AR178" s="57"/>
      <c r="AS178" s="57"/>
      <c r="AT178" s="57"/>
      <c r="AU178" s="57"/>
      <c r="AV178" s="71"/>
      <c r="AW178" s="57"/>
      <c r="AX178" s="55"/>
      <c r="AY178" s="55"/>
      <c r="AZ178" s="55"/>
      <c r="BA178" s="55"/>
      <c r="BB178" s="55"/>
      <c r="BC178" s="55"/>
      <c r="BD178" s="57"/>
    </row>
    <row r="179" spans="1:56">
      <c r="A179" s="12" t="str">
        <f>Roster!A179</f>
        <v/>
      </c>
      <c r="B179" s="28">
        <f>Roster!C179</f>
        <v>0</v>
      </c>
      <c r="C179" s="55"/>
      <c r="D179" s="56"/>
      <c r="E179" s="57"/>
      <c r="F179" s="57"/>
      <c r="G179" s="57"/>
      <c r="H179" s="57"/>
      <c r="I179" s="57"/>
      <c r="J179" s="57"/>
      <c r="K179" s="45"/>
      <c r="L179" s="58"/>
      <c r="M179" s="56"/>
      <c r="N179" s="57"/>
      <c r="O179" s="57"/>
      <c r="P179" s="57"/>
      <c r="Q179" s="57"/>
      <c r="R179" s="57"/>
      <c r="S179" s="57"/>
      <c r="T179" s="45"/>
      <c r="U179" s="71"/>
      <c r="V179" s="57"/>
      <c r="W179" s="57"/>
      <c r="X179" s="57"/>
      <c r="Y179" s="57"/>
      <c r="Z179" s="57"/>
      <c r="AA179" s="57"/>
      <c r="AB179" s="57"/>
      <c r="AC179" s="57"/>
      <c r="AD179" s="71"/>
      <c r="AE179" s="57"/>
      <c r="AF179" s="57"/>
      <c r="AG179" s="57"/>
      <c r="AH179" s="57"/>
      <c r="AI179" s="57"/>
      <c r="AJ179" s="57"/>
      <c r="AK179" s="57"/>
      <c r="AL179" s="57"/>
      <c r="AM179" s="71"/>
      <c r="AN179" s="57"/>
      <c r="AO179" s="57"/>
      <c r="AP179" s="57"/>
      <c r="AQ179" s="57"/>
      <c r="AR179" s="57"/>
      <c r="AS179" s="57"/>
      <c r="AT179" s="57"/>
      <c r="AU179" s="57"/>
      <c r="AV179" s="71"/>
      <c r="AW179" s="57"/>
      <c r="AX179" s="55"/>
      <c r="AY179" s="55"/>
      <c r="AZ179" s="55"/>
      <c r="BA179" s="55"/>
      <c r="BB179" s="55"/>
      <c r="BC179" s="55"/>
      <c r="BD179" s="57"/>
    </row>
    <row r="180" spans="1:56">
      <c r="A180" s="12" t="str">
        <f>Roster!A180</f>
        <v/>
      </c>
      <c r="B180" s="28">
        <f>Roster!C180</f>
        <v>0</v>
      </c>
      <c r="C180" s="55"/>
      <c r="D180" s="56"/>
      <c r="E180" s="57"/>
      <c r="F180" s="57"/>
      <c r="G180" s="57"/>
      <c r="H180" s="57"/>
      <c r="I180" s="57"/>
      <c r="J180" s="57"/>
      <c r="K180" s="45"/>
      <c r="L180" s="58"/>
      <c r="M180" s="56"/>
      <c r="N180" s="57"/>
      <c r="O180" s="57"/>
      <c r="P180" s="57"/>
      <c r="Q180" s="57"/>
      <c r="R180" s="57"/>
      <c r="S180" s="57"/>
      <c r="T180" s="45"/>
      <c r="U180" s="71"/>
      <c r="V180" s="57"/>
      <c r="W180" s="57"/>
      <c r="X180" s="57"/>
      <c r="Y180" s="57"/>
      <c r="Z180" s="57"/>
      <c r="AA180" s="57"/>
      <c r="AB180" s="57"/>
      <c r="AC180" s="57"/>
      <c r="AD180" s="71"/>
      <c r="AE180" s="57"/>
      <c r="AF180" s="57"/>
      <c r="AG180" s="57"/>
      <c r="AH180" s="57"/>
      <c r="AI180" s="57"/>
      <c r="AJ180" s="57"/>
      <c r="AK180" s="57"/>
      <c r="AL180" s="57"/>
      <c r="AM180" s="71"/>
      <c r="AN180" s="57"/>
      <c r="AO180" s="57"/>
      <c r="AP180" s="57"/>
      <c r="AQ180" s="57"/>
      <c r="AR180" s="57"/>
      <c r="AS180" s="57"/>
      <c r="AT180" s="57"/>
      <c r="AU180" s="57"/>
      <c r="AV180" s="71"/>
      <c r="AW180" s="57"/>
      <c r="AX180" s="55"/>
      <c r="AY180" s="55"/>
      <c r="AZ180" s="55"/>
      <c r="BA180" s="55"/>
      <c r="BB180" s="55"/>
      <c r="BC180" s="55"/>
      <c r="BD180" s="57"/>
    </row>
    <row r="181" spans="1:56">
      <c r="A181" s="12" t="str">
        <f>Roster!A181</f>
        <v/>
      </c>
      <c r="B181" s="28">
        <f>Roster!C181</f>
        <v>0</v>
      </c>
      <c r="C181" s="55"/>
      <c r="D181" s="56"/>
      <c r="E181" s="57"/>
      <c r="F181" s="57"/>
      <c r="G181" s="57"/>
      <c r="H181" s="57"/>
      <c r="I181" s="57"/>
      <c r="J181" s="57"/>
      <c r="K181" s="45"/>
      <c r="L181" s="58"/>
      <c r="M181" s="56"/>
      <c r="N181" s="57"/>
      <c r="O181" s="57"/>
      <c r="P181" s="57"/>
      <c r="Q181" s="57"/>
      <c r="R181" s="57"/>
      <c r="S181" s="57"/>
      <c r="T181" s="45"/>
      <c r="U181" s="71"/>
      <c r="V181" s="57"/>
      <c r="W181" s="57"/>
      <c r="X181" s="57"/>
      <c r="Y181" s="57"/>
      <c r="Z181" s="57"/>
      <c r="AA181" s="57"/>
      <c r="AB181" s="57"/>
      <c r="AC181" s="57"/>
      <c r="AD181" s="71"/>
      <c r="AE181" s="57"/>
      <c r="AF181" s="57"/>
      <c r="AG181" s="57"/>
      <c r="AH181" s="57"/>
      <c r="AI181" s="57"/>
      <c r="AJ181" s="57"/>
      <c r="AK181" s="57"/>
      <c r="AL181" s="57"/>
      <c r="AM181" s="71"/>
      <c r="AN181" s="57"/>
      <c r="AO181" s="57"/>
      <c r="AP181" s="57"/>
      <c r="AQ181" s="57"/>
      <c r="AR181" s="57"/>
      <c r="AS181" s="57"/>
      <c r="AT181" s="57"/>
      <c r="AU181" s="57"/>
      <c r="AV181" s="71"/>
      <c r="AW181" s="57"/>
      <c r="AX181" s="55"/>
      <c r="AY181" s="55"/>
      <c r="AZ181" s="55"/>
      <c r="BA181" s="55"/>
      <c r="BB181" s="55"/>
      <c r="BC181" s="55"/>
      <c r="BD181" s="57"/>
    </row>
    <row r="182" spans="1:56">
      <c r="A182" s="12" t="str">
        <f>Roster!A182</f>
        <v/>
      </c>
      <c r="B182" s="28">
        <f>Roster!C182</f>
        <v>0</v>
      </c>
      <c r="C182" s="55"/>
      <c r="D182" s="56"/>
      <c r="E182" s="57"/>
      <c r="F182" s="57"/>
      <c r="G182" s="57"/>
      <c r="H182" s="57"/>
      <c r="I182" s="57"/>
      <c r="J182" s="57"/>
      <c r="K182" s="45"/>
      <c r="L182" s="58"/>
      <c r="M182" s="56"/>
      <c r="N182" s="57"/>
      <c r="O182" s="57"/>
      <c r="P182" s="57"/>
      <c r="Q182" s="57"/>
      <c r="R182" s="57"/>
      <c r="S182" s="57"/>
      <c r="T182" s="45"/>
      <c r="U182" s="71"/>
      <c r="V182" s="57"/>
      <c r="W182" s="57"/>
      <c r="X182" s="57"/>
      <c r="Y182" s="57"/>
      <c r="Z182" s="57"/>
      <c r="AA182" s="57"/>
      <c r="AB182" s="57"/>
      <c r="AC182" s="57"/>
      <c r="AD182" s="71"/>
      <c r="AE182" s="57"/>
      <c r="AF182" s="57"/>
      <c r="AG182" s="57"/>
      <c r="AH182" s="57"/>
      <c r="AI182" s="57"/>
      <c r="AJ182" s="57"/>
      <c r="AK182" s="57"/>
      <c r="AL182" s="57"/>
      <c r="AM182" s="71"/>
      <c r="AN182" s="57"/>
      <c r="AO182" s="57"/>
      <c r="AP182" s="57"/>
      <c r="AQ182" s="57"/>
      <c r="AR182" s="57"/>
      <c r="AS182" s="57"/>
      <c r="AT182" s="57"/>
      <c r="AU182" s="57"/>
      <c r="AV182" s="71"/>
      <c r="AW182" s="57"/>
      <c r="AX182" s="55"/>
      <c r="AY182" s="55"/>
      <c r="AZ182" s="55"/>
      <c r="BA182" s="55"/>
      <c r="BB182" s="55"/>
      <c r="BC182" s="55"/>
      <c r="BD182" s="57"/>
    </row>
    <row r="183" spans="1:56">
      <c r="A183" s="12" t="str">
        <f>Roster!A183</f>
        <v/>
      </c>
      <c r="B183" s="28">
        <f>Roster!C183</f>
        <v>0</v>
      </c>
      <c r="C183" s="55"/>
      <c r="D183" s="56"/>
      <c r="E183" s="57"/>
      <c r="F183" s="57"/>
      <c r="G183" s="57"/>
      <c r="H183" s="57"/>
      <c r="I183" s="57"/>
      <c r="J183" s="57"/>
      <c r="K183" s="45"/>
      <c r="L183" s="58"/>
      <c r="M183" s="56"/>
      <c r="N183" s="57"/>
      <c r="O183" s="57"/>
      <c r="P183" s="57"/>
      <c r="Q183" s="57"/>
      <c r="R183" s="57"/>
      <c r="S183" s="57"/>
      <c r="T183" s="45"/>
      <c r="U183" s="71"/>
      <c r="V183" s="57"/>
      <c r="W183" s="57"/>
      <c r="X183" s="57"/>
      <c r="Y183" s="57"/>
      <c r="Z183" s="57"/>
      <c r="AA183" s="57"/>
      <c r="AB183" s="57"/>
      <c r="AC183" s="57"/>
      <c r="AD183" s="71"/>
      <c r="AE183" s="57"/>
      <c r="AF183" s="57"/>
      <c r="AG183" s="57"/>
      <c r="AH183" s="57"/>
      <c r="AI183" s="57"/>
      <c r="AJ183" s="57"/>
      <c r="AK183" s="57"/>
      <c r="AL183" s="57"/>
      <c r="AM183" s="71"/>
      <c r="AN183" s="57"/>
      <c r="AO183" s="57"/>
      <c r="AP183" s="57"/>
      <c r="AQ183" s="57"/>
      <c r="AR183" s="57"/>
      <c r="AS183" s="57"/>
      <c r="AT183" s="57"/>
      <c r="AU183" s="57"/>
      <c r="AV183" s="71"/>
      <c r="AW183" s="57"/>
      <c r="AX183" s="55"/>
      <c r="AY183" s="55"/>
      <c r="AZ183" s="55"/>
      <c r="BA183" s="55"/>
      <c r="BB183" s="55"/>
      <c r="BC183" s="55"/>
      <c r="BD183" s="57"/>
    </row>
    <row r="184" spans="1:56">
      <c r="A184" s="12" t="str">
        <f>Roster!A184</f>
        <v/>
      </c>
      <c r="B184" s="28">
        <f>Roster!C184</f>
        <v>0</v>
      </c>
      <c r="C184" s="55"/>
      <c r="D184" s="56"/>
      <c r="E184" s="57"/>
      <c r="F184" s="57"/>
      <c r="G184" s="57"/>
      <c r="H184" s="57"/>
      <c r="I184" s="57"/>
      <c r="J184" s="57"/>
      <c r="K184" s="45"/>
      <c r="L184" s="58"/>
      <c r="M184" s="56"/>
      <c r="N184" s="57"/>
      <c r="O184" s="57"/>
      <c r="P184" s="57"/>
      <c r="Q184" s="57"/>
      <c r="R184" s="57"/>
      <c r="S184" s="57"/>
      <c r="T184" s="45"/>
      <c r="U184" s="71"/>
      <c r="V184" s="57"/>
      <c r="W184" s="57"/>
      <c r="X184" s="57"/>
      <c r="Y184" s="57"/>
      <c r="Z184" s="57"/>
      <c r="AA184" s="57"/>
      <c r="AB184" s="57"/>
      <c r="AC184" s="57"/>
      <c r="AD184" s="71"/>
      <c r="AE184" s="57"/>
      <c r="AF184" s="57"/>
      <c r="AG184" s="57"/>
      <c r="AH184" s="57"/>
      <c r="AI184" s="57"/>
      <c r="AJ184" s="57"/>
      <c r="AK184" s="57"/>
      <c r="AL184" s="57"/>
      <c r="AM184" s="71"/>
      <c r="AN184" s="57"/>
      <c r="AO184" s="57"/>
      <c r="AP184" s="57"/>
      <c r="AQ184" s="57"/>
      <c r="AR184" s="57"/>
      <c r="AS184" s="57"/>
      <c r="AT184" s="57"/>
      <c r="AU184" s="57"/>
      <c r="AV184" s="71"/>
      <c r="AW184" s="57"/>
      <c r="AX184" s="55"/>
      <c r="AY184" s="55"/>
      <c r="AZ184" s="55"/>
      <c r="BA184" s="55"/>
      <c r="BB184" s="55"/>
      <c r="BC184" s="55"/>
      <c r="BD184" s="57"/>
    </row>
    <row r="185" spans="1:56">
      <c r="A185" s="12" t="str">
        <f>Roster!A185</f>
        <v/>
      </c>
      <c r="B185" s="28">
        <f>Roster!C185</f>
        <v>0</v>
      </c>
      <c r="C185" s="55"/>
      <c r="D185" s="56"/>
      <c r="E185" s="57"/>
      <c r="F185" s="57"/>
      <c r="G185" s="57"/>
      <c r="H185" s="57"/>
      <c r="I185" s="57"/>
      <c r="J185" s="57"/>
      <c r="K185" s="45"/>
      <c r="L185" s="58"/>
      <c r="M185" s="56"/>
      <c r="N185" s="57"/>
      <c r="O185" s="57"/>
      <c r="P185" s="57"/>
      <c r="Q185" s="57"/>
      <c r="R185" s="57"/>
      <c r="S185" s="57"/>
      <c r="T185" s="45"/>
      <c r="U185" s="71"/>
      <c r="V185" s="57"/>
      <c r="W185" s="57"/>
      <c r="X185" s="57"/>
      <c r="Y185" s="57"/>
      <c r="Z185" s="57"/>
      <c r="AA185" s="57"/>
      <c r="AB185" s="57"/>
      <c r="AC185" s="57"/>
      <c r="AD185" s="71"/>
      <c r="AE185" s="57"/>
      <c r="AF185" s="57"/>
      <c r="AG185" s="57"/>
      <c r="AH185" s="57"/>
      <c r="AI185" s="57"/>
      <c r="AJ185" s="57"/>
      <c r="AK185" s="57"/>
      <c r="AL185" s="57"/>
      <c r="AM185" s="71"/>
      <c r="AN185" s="57"/>
      <c r="AO185" s="57"/>
      <c r="AP185" s="57"/>
      <c r="AQ185" s="57"/>
      <c r="AR185" s="57"/>
      <c r="AS185" s="57"/>
      <c r="AT185" s="57"/>
      <c r="AU185" s="57"/>
      <c r="AV185" s="71"/>
      <c r="AW185" s="57"/>
      <c r="AX185" s="55"/>
      <c r="AY185" s="55"/>
      <c r="AZ185" s="55"/>
      <c r="BA185" s="55"/>
      <c r="BB185" s="55"/>
      <c r="BC185" s="55"/>
      <c r="BD185" s="57"/>
    </row>
    <row r="186" spans="1:56">
      <c r="A186" s="12" t="str">
        <f>Roster!A186</f>
        <v/>
      </c>
      <c r="B186" s="28">
        <f>Roster!C186</f>
        <v>0</v>
      </c>
      <c r="C186" s="55"/>
      <c r="D186" s="56"/>
      <c r="E186" s="57"/>
      <c r="F186" s="57"/>
      <c r="G186" s="57"/>
      <c r="H186" s="57"/>
      <c r="I186" s="57"/>
      <c r="J186" s="57"/>
      <c r="K186" s="45"/>
      <c r="L186" s="58"/>
      <c r="M186" s="56"/>
      <c r="N186" s="57"/>
      <c r="O186" s="57"/>
      <c r="P186" s="57"/>
      <c r="Q186" s="57"/>
      <c r="R186" s="57"/>
      <c r="S186" s="57"/>
      <c r="T186" s="45"/>
      <c r="U186" s="71"/>
      <c r="V186" s="57"/>
      <c r="W186" s="57"/>
      <c r="X186" s="57"/>
      <c r="Y186" s="57"/>
      <c r="Z186" s="57"/>
      <c r="AA186" s="57"/>
      <c r="AB186" s="57"/>
      <c r="AC186" s="57"/>
      <c r="AD186" s="71"/>
      <c r="AE186" s="57"/>
      <c r="AF186" s="57"/>
      <c r="AG186" s="57"/>
      <c r="AH186" s="57"/>
      <c r="AI186" s="57"/>
      <c r="AJ186" s="57"/>
      <c r="AK186" s="57"/>
      <c r="AL186" s="57"/>
      <c r="AM186" s="71"/>
      <c r="AN186" s="57"/>
      <c r="AO186" s="57"/>
      <c r="AP186" s="57"/>
      <c r="AQ186" s="57"/>
      <c r="AR186" s="57"/>
      <c r="AS186" s="57"/>
      <c r="AT186" s="57"/>
      <c r="AU186" s="57"/>
      <c r="AV186" s="71"/>
      <c r="AW186" s="57"/>
      <c r="AX186" s="55"/>
      <c r="AY186" s="55"/>
      <c r="AZ186" s="55"/>
      <c r="BA186" s="55"/>
      <c r="BB186" s="55"/>
      <c r="BC186" s="55"/>
      <c r="BD186" s="57"/>
    </row>
    <row r="187" spans="1:56">
      <c r="A187" s="12" t="str">
        <f>Roster!A187</f>
        <v/>
      </c>
      <c r="B187" s="28">
        <f>Roster!C187</f>
        <v>0</v>
      </c>
      <c r="C187" s="55"/>
      <c r="D187" s="56"/>
      <c r="E187" s="57"/>
      <c r="F187" s="57"/>
      <c r="G187" s="57"/>
      <c r="H187" s="57"/>
      <c r="I187" s="57"/>
      <c r="J187" s="57"/>
      <c r="K187" s="45"/>
      <c r="L187" s="58"/>
      <c r="M187" s="56"/>
      <c r="N187" s="57"/>
      <c r="O187" s="57"/>
      <c r="P187" s="57"/>
      <c r="Q187" s="57"/>
      <c r="R187" s="57"/>
      <c r="S187" s="57"/>
      <c r="T187" s="45"/>
      <c r="U187" s="71"/>
      <c r="V187" s="57"/>
      <c r="W187" s="57"/>
      <c r="X187" s="57"/>
      <c r="Y187" s="57"/>
      <c r="Z187" s="57"/>
      <c r="AA187" s="57"/>
      <c r="AB187" s="57"/>
      <c r="AC187" s="57"/>
      <c r="AD187" s="71"/>
      <c r="AE187" s="57"/>
      <c r="AF187" s="57"/>
      <c r="AG187" s="57"/>
      <c r="AH187" s="57"/>
      <c r="AI187" s="57"/>
      <c r="AJ187" s="57"/>
      <c r="AK187" s="57"/>
      <c r="AL187" s="57"/>
      <c r="AM187" s="71"/>
      <c r="AN187" s="57"/>
      <c r="AO187" s="57"/>
      <c r="AP187" s="57"/>
      <c r="AQ187" s="57"/>
      <c r="AR187" s="57"/>
      <c r="AS187" s="57"/>
      <c r="AT187" s="57"/>
      <c r="AU187" s="57"/>
      <c r="AV187" s="71"/>
      <c r="AW187" s="57"/>
      <c r="AX187" s="55"/>
      <c r="AY187" s="55"/>
      <c r="AZ187" s="55"/>
      <c r="BA187" s="55"/>
      <c r="BB187" s="55"/>
      <c r="BC187" s="55"/>
      <c r="BD187" s="57"/>
    </row>
    <row r="188" spans="1:56">
      <c r="A188" s="12" t="str">
        <f>Roster!A188</f>
        <v/>
      </c>
      <c r="B188" s="28">
        <f>Roster!C188</f>
        <v>0</v>
      </c>
      <c r="C188" s="55"/>
      <c r="D188" s="56"/>
      <c r="E188" s="57"/>
      <c r="F188" s="57"/>
      <c r="G188" s="57"/>
      <c r="H188" s="57"/>
      <c r="I188" s="57"/>
      <c r="J188" s="57"/>
      <c r="K188" s="45"/>
      <c r="L188" s="58"/>
      <c r="M188" s="56"/>
      <c r="N188" s="57"/>
      <c r="O188" s="57"/>
      <c r="P188" s="57"/>
      <c r="Q188" s="57"/>
      <c r="R188" s="57"/>
      <c r="S188" s="57"/>
      <c r="T188" s="45"/>
      <c r="U188" s="71"/>
      <c r="V188" s="57"/>
      <c r="W188" s="57"/>
      <c r="X188" s="57"/>
      <c r="Y188" s="57"/>
      <c r="Z188" s="57"/>
      <c r="AA188" s="57"/>
      <c r="AB188" s="57"/>
      <c r="AC188" s="57"/>
      <c r="AD188" s="71"/>
      <c r="AE188" s="57"/>
      <c r="AF188" s="57"/>
      <c r="AG188" s="57"/>
      <c r="AH188" s="57"/>
      <c r="AI188" s="57"/>
      <c r="AJ188" s="57"/>
      <c r="AK188" s="57"/>
      <c r="AL188" s="57"/>
      <c r="AM188" s="71"/>
      <c r="AN188" s="57"/>
      <c r="AO188" s="57"/>
      <c r="AP188" s="57"/>
      <c r="AQ188" s="57"/>
      <c r="AR188" s="57"/>
      <c r="AS188" s="57"/>
      <c r="AT188" s="57"/>
      <c r="AU188" s="57"/>
      <c r="AV188" s="71"/>
      <c r="AW188" s="57"/>
      <c r="AX188" s="55"/>
      <c r="AY188" s="55"/>
      <c r="AZ188" s="55"/>
      <c r="BA188" s="55"/>
      <c r="BB188" s="55"/>
      <c r="BC188" s="55"/>
      <c r="BD188" s="57"/>
    </row>
    <row r="189" spans="1:56">
      <c r="A189" s="12" t="str">
        <f>Roster!A189</f>
        <v/>
      </c>
      <c r="B189" s="28">
        <f>Roster!C189</f>
        <v>0</v>
      </c>
      <c r="C189" s="55"/>
      <c r="D189" s="56"/>
      <c r="E189" s="57"/>
      <c r="F189" s="57"/>
      <c r="G189" s="57"/>
      <c r="H189" s="57"/>
      <c r="I189" s="57"/>
      <c r="J189" s="57"/>
      <c r="K189" s="45"/>
      <c r="L189" s="58"/>
      <c r="M189" s="56"/>
      <c r="N189" s="57"/>
      <c r="O189" s="57"/>
      <c r="P189" s="57"/>
      <c r="Q189" s="57"/>
      <c r="R189" s="57"/>
      <c r="S189" s="57"/>
      <c r="T189" s="45"/>
      <c r="U189" s="71"/>
      <c r="V189" s="57"/>
      <c r="W189" s="57"/>
      <c r="X189" s="57"/>
      <c r="Y189" s="57"/>
      <c r="Z189" s="57"/>
      <c r="AA189" s="57"/>
      <c r="AB189" s="57"/>
      <c r="AC189" s="57"/>
      <c r="AD189" s="71"/>
      <c r="AE189" s="57"/>
      <c r="AF189" s="57"/>
      <c r="AG189" s="57"/>
      <c r="AH189" s="57"/>
      <c r="AI189" s="57"/>
      <c r="AJ189" s="57"/>
      <c r="AK189" s="57"/>
      <c r="AL189" s="57"/>
      <c r="AM189" s="71"/>
      <c r="AN189" s="57"/>
      <c r="AO189" s="57"/>
      <c r="AP189" s="57"/>
      <c r="AQ189" s="57"/>
      <c r="AR189" s="57"/>
      <c r="AS189" s="57"/>
      <c r="AT189" s="57"/>
      <c r="AU189" s="57"/>
      <c r="AV189" s="71"/>
      <c r="AW189" s="57"/>
      <c r="AX189" s="55"/>
      <c r="AY189" s="55"/>
      <c r="AZ189" s="55"/>
      <c r="BA189" s="55"/>
      <c r="BB189" s="55"/>
      <c r="BC189" s="55"/>
      <c r="BD189" s="57"/>
    </row>
    <row r="190" spans="1:56">
      <c r="A190" s="12" t="str">
        <f>Roster!A190</f>
        <v/>
      </c>
      <c r="B190" s="28">
        <f>Roster!C190</f>
        <v>0</v>
      </c>
      <c r="C190" s="55"/>
      <c r="D190" s="56"/>
      <c r="E190" s="57"/>
      <c r="F190" s="57"/>
      <c r="G190" s="57"/>
      <c r="H190" s="57"/>
      <c r="I190" s="57"/>
      <c r="J190" s="57"/>
      <c r="K190" s="45"/>
      <c r="L190" s="58"/>
      <c r="M190" s="56"/>
      <c r="N190" s="57"/>
      <c r="O190" s="57"/>
      <c r="P190" s="57"/>
      <c r="Q190" s="57"/>
      <c r="R190" s="57"/>
      <c r="S190" s="57"/>
      <c r="T190" s="45"/>
      <c r="U190" s="71"/>
      <c r="V190" s="57"/>
      <c r="W190" s="57"/>
      <c r="X190" s="57"/>
      <c r="Y190" s="57"/>
      <c r="Z190" s="57"/>
      <c r="AA190" s="57"/>
      <c r="AB190" s="57"/>
      <c r="AC190" s="57"/>
      <c r="AD190" s="71"/>
      <c r="AE190" s="57"/>
      <c r="AF190" s="57"/>
      <c r="AG190" s="57"/>
      <c r="AH190" s="57"/>
      <c r="AI190" s="57"/>
      <c r="AJ190" s="57"/>
      <c r="AK190" s="57"/>
      <c r="AL190" s="57"/>
      <c r="AM190" s="71"/>
      <c r="AN190" s="57"/>
      <c r="AO190" s="57"/>
      <c r="AP190" s="57"/>
      <c r="AQ190" s="57"/>
      <c r="AR190" s="57"/>
      <c r="AS190" s="57"/>
      <c r="AT190" s="57"/>
      <c r="AU190" s="57"/>
      <c r="AV190" s="71"/>
      <c r="AW190" s="57"/>
      <c r="AX190" s="55"/>
      <c r="AY190" s="55"/>
      <c r="AZ190" s="55"/>
      <c r="BA190" s="55"/>
      <c r="BB190" s="55"/>
      <c r="BC190" s="55"/>
      <c r="BD190" s="57"/>
    </row>
    <row r="191" spans="1:56">
      <c r="A191" s="12" t="str">
        <f>Roster!A191</f>
        <v/>
      </c>
      <c r="B191" s="28">
        <f>Roster!C191</f>
        <v>0</v>
      </c>
      <c r="C191" s="55"/>
      <c r="D191" s="56"/>
      <c r="E191" s="57"/>
      <c r="F191" s="57"/>
      <c r="G191" s="57"/>
      <c r="H191" s="57"/>
      <c r="I191" s="57"/>
      <c r="J191" s="57"/>
      <c r="K191" s="45"/>
      <c r="L191" s="58"/>
      <c r="M191" s="56"/>
      <c r="N191" s="57"/>
      <c r="O191" s="57"/>
      <c r="P191" s="57"/>
      <c r="Q191" s="57"/>
      <c r="R191" s="57"/>
      <c r="S191" s="57"/>
      <c r="T191" s="45"/>
      <c r="U191" s="71"/>
      <c r="V191" s="57"/>
      <c r="W191" s="57"/>
      <c r="X191" s="57"/>
      <c r="Y191" s="57"/>
      <c r="Z191" s="57"/>
      <c r="AA191" s="57"/>
      <c r="AB191" s="57"/>
      <c r="AC191" s="57"/>
      <c r="AD191" s="71"/>
      <c r="AE191" s="57"/>
      <c r="AF191" s="57"/>
      <c r="AG191" s="57"/>
      <c r="AH191" s="57"/>
      <c r="AI191" s="57"/>
      <c r="AJ191" s="57"/>
      <c r="AK191" s="57"/>
      <c r="AL191" s="57"/>
      <c r="AM191" s="71"/>
      <c r="AN191" s="57"/>
      <c r="AO191" s="57"/>
      <c r="AP191" s="57"/>
      <c r="AQ191" s="57"/>
      <c r="AR191" s="57"/>
      <c r="AS191" s="57"/>
      <c r="AT191" s="57"/>
      <c r="AU191" s="57"/>
      <c r="AV191" s="71"/>
      <c r="AW191" s="57"/>
      <c r="AX191" s="55"/>
      <c r="AY191" s="55"/>
      <c r="AZ191" s="55"/>
      <c r="BA191" s="55"/>
      <c r="BB191" s="55"/>
      <c r="BC191" s="55"/>
      <c r="BD191" s="57"/>
    </row>
    <row r="192" spans="1:56">
      <c r="A192" s="12" t="str">
        <f>Roster!A192</f>
        <v/>
      </c>
      <c r="B192" s="28">
        <f>Roster!C192</f>
        <v>0</v>
      </c>
      <c r="C192" s="55"/>
      <c r="D192" s="56"/>
      <c r="E192" s="57"/>
      <c r="F192" s="57"/>
      <c r="G192" s="57"/>
      <c r="H192" s="57"/>
      <c r="I192" s="57"/>
      <c r="J192" s="57"/>
      <c r="K192" s="45"/>
      <c r="L192" s="58"/>
      <c r="M192" s="56"/>
      <c r="N192" s="57"/>
      <c r="O192" s="57"/>
      <c r="P192" s="57"/>
      <c r="Q192" s="57"/>
      <c r="R192" s="57"/>
      <c r="S192" s="57"/>
      <c r="T192" s="45"/>
      <c r="U192" s="71"/>
      <c r="V192" s="57"/>
      <c r="W192" s="57"/>
      <c r="X192" s="57"/>
      <c r="Y192" s="57"/>
      <c r="Z192" s="57"/>
      <c r="AA192" s="57"/>
      <c r="AB192" s="57"/>
      <c r="AC192" s="57"/>
      <c r="AD192" s="71"/>
      <c r="AE192" s="57"/>
      <c r="AF192" s="57"/>
      <c r="AG192" s="57"/>
      <c r="AH192" s="57"/>
      <c r="AI192" s="57"/>
      <c r="AJ192" s="57"/>
      <c r="AK192" s="57"/>
      <c r="AL192" s="57"/>
      <c r="AM192" s="71"/>
      <c r="AN192" s="57"/>
      <c r="AO192" s="57"/>
      <c r="AP192" s="57"/>
      <c r="AQ192" s="57"/>
      <c r="AR192" s="57"/>
      <c r="AS192" s="57"/>
      <c r="AT192" s="57"/>
      <c r="AU192" s="57"/>
      <c r="AV192" s="71"/>
      <c r="AW192" s="57"/>
      <c r="AX192" s="55"/>
      <c r="AY192" s="55"/>
      <c r="AZ192" s="55"/>
      <c r="BA192" s="55"/>
      <c r="BB192" s="55"/>
      <c r="BC192" s="55"/>
      <c r="BD192" s="57"/>
    </row>
    <row r="193" spans="1:56">
      <c r="A193" s="12" t="str">
        <f>Roster!A193</f>
        <v/>
      </c>
      <c r="B193" s="28">
        <f>Roster!C193</f>
        <v>0</v>
      </c>
      <c r="C193" s="55"/>
      <c r="D193" s="56"/>
      <c r="E193" s="57"/>
      <c r="F193" s="57"/>
      <c r="G193" s="57"/>
      <c r="H193" s="57"/>
      <c r="I193" s="57"/>
      <c r="J193" s="57"/>
      <c r="K193" s="45"/>
      <c r="L193" s="58"/>
      <c r="M193" s="56"/>
      <c r="N193" s="57"/>
      <c r="O193" s="57"/>
      <c r="P193" s="57"/>
      <c r="Q193" s="57"/>
      <c r="R193" s="57"/>
      <c r="S193" s="57"/>
      <c r="T193" s="45"/>
      <c r="U193" s="71"/>
      <c r="V193" s="57"/>
      <c r="W193" s="57"/>
      <c r="X193" s="57"/>
      <c r="Y193" s="57"/>
      <c r="Z193" s="57"/>
      <c r="AA193" s="57"/>
      <c r="AB193" s="57"/>
      <c r="AC193" s="57"/>
      <c r="AD193" s="71"/>
      <c r="AE193" s="57"/>
      <c r="AF193" s="57"/>
      <c r="AG193" s="57"/>
      <c r="AH193" s="57"/>
      <c r="AI193" s="57"/>
      <c r="AJ193" s="57"/>
      <c r="AK193" s="57"/>
      <c r="AL193" s="57"/>
      <c r="AM193" s="71"/>
      <c r="AN193" s="57"/>
      <c r="AO193" s="57"/>
      <c r="AP193" s="57"/>
      <c r="AQ193" s="57"/>
      <c r="AR193" s="57"/>
      <c r="AS193" s="57"/>
      <c r="AT193" s="57"/>
      <c r="AU193" s="57"/>
      <c r="AV193" s="71"/>
      <c r="AW193" s="57"/>
      <c r="AX193" s="55"/>
      <c r="AY193" s="55"/>
      <c r="AZ193" s="55"/>
      <c r="BA193" s="55"/>
      <c r="BB193" s="55"/>
      <c r="BC193" s="55"/>
      <c r="BD193" s="57"/>
    </row>
    <row r="194" spans="1:56">
      <c r="A194" s="12" t="str">
        <f>Roster!A194</f>
        <v/>
      </c>
      <c r="B194" s="28">
        <f>Roster!C194</f>
        <v>0</v>
      </c>
      <c r="C194" s="55"/>
      <c r="D194" s="56"/>
      <c r="E194" s="57"/>
      <c r="F194" s="57"/>
      <c r="G194" s="57"/>
      <c r="H194" s="57"/>
      <c r="I194" s="57"/>
      <c r="J194" s="57"/>
      <c r="K194" s="45"/>
      <c r="L194" s="58"/>
      <c r="M194" s="56"/>
      <c r="N194" s="57"/>
      <c r="O194" s="57"/>
      <c r="P194" s="57"/>
      <c r="Q194" s="57"/>
      <c r="R194" s="57"/>
      <c r="S194" s="57"/>
      <c r="T194" s="45"/>
      <c r="U194" s="71"/>
      <c r="V194" s="57"/>
      <c r="W194" s="57"/>
      <c r="X194" s="57"/>
      <c r="Y194" s="57"/>
      <c r="Z194" s="57"/>
      <c r="AA194" s="57"/>
      <c r="AB194" s="57"/>
      <c r="AC194" s="57"/>
      <c r="AD194" s="71"/>
      <c r="AE194" s="57"/>
      <c r="AF194" s="57"/>
      <c r="AG194" s="57"/>
      <c r="AH194" s="57"/>
      <c r="AI194" s="57"/>
      <c r="AJ194" s="57"/>
      <c r="AK194" s="57"/>
      <c r="AL194" s="57"/>
      <c r="AM194" s="71"/>
      <c r="AN194" s="57"/>
      <c r="AO194" s="57"/>
      <c r="AP194" s="57"/>
      <c r="AQ194" s="57"/>
      <c r="AR194" s="57"/>
      <c r="AS194" s="57"/>
      <c r="AT194" s="57"/>
      <c r="AU194" s="57"/>
      <c r="AV194" s="71"/>
      <c r="AW194" s="57"/>
      <c r="AX194" s="55"/>
      <c r="AY194" s="55"/>
      <c r="AZ194" s="55"/>
      <c r="BA194" s="55"/>
      <c r="BB194" s="55"/>
      <c r="BC194" s="55"/>
      <c r="BD194" s="57"/>
    </row>
    <row r="195" spans="1:56">
      <c r="A195" s="12" t="str">
        <f>Roster!A195</f>
        <v/>
      </c>
      <c r="B195" s="28">
        <f>Roster!C195</f>
        <v>0</v>
      </c>
      <c r="C195" s="55"/>
      <c r="D195" s="56"/>
      <c r="E195" s="57"/>
      <c r="F195" s="57"/>
      <c r="G195" s="57"/>
      <c r="H195" s="57"/>
      <c r="I195" s="57"/>
      <c r="J195" s="57"/>
      <c r="K195" s="45"/>
      <c r="L195" s="58"/>
      <c r="M195" s="56"/>
      <c r="N195" s="57"/>
      <c r="O195" s="57"/>
      <c r="P195" s="57"/>
      <c r="Q195" s="57"/>
      <c r="R195" s="57"/>
      <c r="S195" s="57"/>
      <c r="T195" s="45"/>
      <c r="U195" s="71"/>
      <c r="V195" s="57"/>
      <c r="W195" s="57"/>
      <c r="X195" s="57"/>
      <c r="Y195" s="57"/>
      <c r="Z195" s="57"/>
      <c r="AA195" s="57"/>
      <c r="AB195" s="57"/>
      <c r="AC195" s="57"/>
      <c r="AD195" s="71"/>
      <c r="AE195" s="57"/>
      <c r="AF195" s="57"/>
      <c r="AG195" s="57"/>
      <c r="AH195" s="57"/>
      <c r="AI195" s="57"/>
      <c r="AJ195" s="57"/>
      <c r="AK195" s="57"/>
      <c r="AL195" s="57"/>
      <c r="AM195" s="71"/>
      <c r="AN195" s="57"/>
      <c r="AO195" s="57"/>
      <c r="AP195" s="57"/>
      <c r="AQ195" s="57"/>
      <c r="AR195" s="57"/>
      <c r="AS195" s="57"/>
      <c r="AT195" s="57"/>
      <c r="AU195" s="57"/>
      <c r="AV195" s="71"/>
      <c r="AW195" s="57"/>
      <c r="AX195" s="55"/>
      <c r="AY195" s="55"/>
      <c r="AZ195" s="55"/>
      <c r="BA195" s="55"/>
      <c r="BB195" s="55"/>
      <c r="BC195" s="55"/>
      <c r="BD195" s="57"/>
    </row>
    <row r="196" spans="1:56">
      <c r="A196" s="12" t="str">
        <f>Roster!A196</f>
        <v/>
      </c>
      <c r="B196" s="28">
        <f>Roster!C196</f>
        <v>0</v>
      </c>
      <c r="C196" s="55"/>
      <c r="D196" s="56"/>
      <c r="E196" s="57"/>
      <c r="F196" s="57"/>
      <c r="G196" s="57"/>
      <c r="H196" s="57"/>
      <c r="I196" s="57"/>
      <c r="J196" s="57"/>
      <c r="K196" s="45"/>
      <c r="L196" s="58"/>
      <c r="M196" s="56"/>
      <c r="N196" s="57"/>
      <c r="O196" s="57"/>
      <c r="P196" s="57"/>
      <c r="Q196" s="57"/>
      <c r="R196" s="57"/>
      <c r="S196" s="57"/>
      <c r="T196" s="45"/>
      <c r="U196" s="71"/>
      <c r="V196" s="57"/>
      <c r="W196" s="57"/>
      <c r="X196" s="57"/>
      <c r="Y196" s="57"/>
      <c r="Z196" s="57"/>
      <c r="AA196" s="57"/>
      <c r="AB196" s="57"/>
      <c r="AC196" s="57"/>
      <c r="AD196" s="71"/>
      <c r="AE196" s="57"/>
      <c r="AF196" s="57"/>
      <c r="AG196" s="57"/>
      <c r="AH196" s="57"/>
      <c r="AI196" s="57"/>
      <c r="AJ196" s="57"/>
      <c r="AK196" s="57"/>
      <c r="AL196" s="57"/>
      <c r="AM196" s="71"/>
      <c r="AN196" s="57"/>
      <c r="AO196" s="57"/>
      <c r="AP196" s="57"/>
      <c r="AQ196" s="57"/>
      <c r="AR196" s="57"/>
      <c r="AS196" s="57"/>
      <c r="AT196" s="57"/>
      <c r="AU196" s="57"/>
      <c r="AV196" s="71"/>
      <c r="AW196" s="57"/>
      <c r="AX196" s="55"/>
      <c r="AY196" s="55"/>
      <c r="AZ196" s="55"/>
      <c r="BA196" s="55"/>
      <c r="BB196" s="55"/>
      <c r="BC196" s="55"/>
      <c r="BD196" s="57"/>
    </row>
    <row r="197" spans="1:56">
      <c r="A197" s="12" t="str">
        <f>Roster!A197</f>
        <v/>
      </c>
      <c r="B197" s="28">
        <f>Roster!C197</f>
        <v>0</v>
      </c>
      <c r="C197" s="55"/>
      <c r="D197" s="56"/>
      <c r="E197" s="57"/>
      <c r="F197" s="57"/>
      <c r="G197" s="57"/>
      <c r="H197" s="57"/>
      <c r="I197" s="57"/>
      <c r="J197" s="57"/>
      <c r="K197" s="45"/>
      <c r="L197" s="58"/>
      <c r="M197" s="56"/>
      <c r="N197" s="57"/>
      <c r="O197" s="57"/>
      <c r="P197" s="57"/>
      <c r="Q197" s="57"/>
      <c r="R197" s="57"/>
      <c r="S197" s="57"/>
      <c r="T197" s="45"/>
      <c r="U197" s="71"/>
      <c r="V197" s="57"/>
      <c r="W197" s="57"/>
      <c r="X197" s="57"/>
      <c r="Y197" s="57"/>
      <c r="Z197" s="57"/>
      <c r="AA197" s="57"/>
      <c r="AB197" s="57"/>
      <c r="AC197" s="57"/>
      <c r="AD197" s="71"/>
      <c r="AE197" s="57"/>
      <c r="AF197" s="57"/>
      <c r="AG197" s="57"/>
      <c r="AH197" s="57"/>
      <c r="AI197" s="57"/>
      <c r="AJ197" s="57"/>
      <c r="AK197" s="57"/>
      <c r="AL197" s="57"/>
      <c r="AM197" s="71"/>
      <c r="AN197" s="57"/>
      <c r="AO197" s="57"/>
      <c r="AP197" s="57"/>
      <c r="AQ197" s="57"/>
      <c r="AR197" s="57"/>
      <c r="AS197" s="57"/>
      <c r="AT197" s="57"/>
      <c r="AU197" s="57"/>
      <c r="AV197" s="71"/>
      <c r="AW197" s="57"/>
      <c r="AX197" s="55"/>
      <c r="AY197" s="55"/>
      <c r="AZ197" s="55"/>
      <c r="BA197" s="55"/>
      <c r="BB197" s="55"/>
      <c r="BC197" s="55"/>
      <c r="BD197" s="57"/>
    </row>
    <row r="198" spans="1:56">
      <c r="A198" s="12" t="str">
        <f>Roster!A198</f>
        <v/>
      </c>
      <c r="B198" s="28">
        <f>Roster!C198</f>
        <v>0</v>
      </c>
      <c r="C198" s="55"/>
      <c r="D198" s="56"/>
      <c r="E198" s="57"/>
      <c r="F198" s="57"/>
      <c r="G198" s="57"/>
      <c r="H198" s="57"/>
      <c r="I198" s="57"/>
      <c r="J198" s="57"/>
      <c r="K198" s="45"/>
      <c r="L198" s="58"/>
      <c r="M198" s="56"/>
      <c r="N198" s="57"/>
      <c r="O198" s="57"/>
      <c r="P198" s="57"/>
      <c r="Q198" s="57"/>
      <c r="R198" s="57"/>
      <c r="S198" s="57"/>
      <c r="T198" s="45"/>
      <c r="U198" s="71"/>
      <c r="V198" s="57"/>
      <c r="W198" s="57"/>
      <c r="X198" s="57"/>
      <c r="Y198" s="57"/>
      <c r="Z198" s="57"/>
      <c r="AA198" s="57"/>
      <c r="AB198" s="57"/>
      <c r="AC198" s="57"/>
      <c r="AD198" s="71"/>
      <c r="AE198" s="57"/>
      <c r="AF198" s="57"/>
      <c r="AG198" s="57"/>
      <c r="AH198" s="57"/>
      <c r="AI198" s="57"/>
      <c r="AJ198" s="57"/>
      <c r="AK198" s="57"/>
      <c r="AL198" s="57"/>
      <c r="AM198" s="71"/>
      <c r="AN198" s="57"/>
      <c r="AO198" s="57"/>
      <c r="AP198" s="57"/>
      <c r="AQ198" s="57"/>
      <c r="AR198" s="57"/>
      <c r="AS198" s="57"/>
      <c r="AT198" s="57"/>
      <c r="AU198" s="57"/>
      <c r="AV198" s="71"/>
      <c r="AW198" s="57"/>
      <c r="AX198" s="55"/>
      <c r="AY198" s="55"/>
      <c r="AZ198" s="55"/>
      <c r="BA198" s="55"/>
      <c r="BB198" s="55"/>
      <c r="BC198" s="55"/>
      <c r="BD198" s="57"/>
    </row>
    <row r="199" spans="1:56">
      <c r="A199" s="12" t="str">
        <f>Roster!A199</f>
        <v/>
      </c>
      <c r="B199" s="28">
        <f>Roster!C199</f>
        <v>0</v>
      </c>
      <c r="C199" s="55"/>
      <c r="D199" s="56"/>
      <c r="E199" s="57"/>
      <c r="F199" s="57"/>
      <c r="G199" s="57"/>
      <c r="H199" s="57"/>
      <c r="I199" s="57"/>
      <c r="J199" s="57"/>
      <c r="K199" s="45"/>
      <c r="L199" s="58"/>
      <c r="M199" s="56"/>
      <c r="N199" s="57"/>
      <c r="O199" s="57"/>
      <c r="P199" s="57"/>
      <c r="Q199" s="57"/>
      <c r="R199" s="57"/>
      <c r="S199" s="57"/>
      <c r="T199" s="45"/>
      <c r="U199" s="71"/>
      <c r="V199" s="57"/>
      <c r="W199" s="57"/>
      <c r="X199" s="57"/>
      <c r="Y199" s="57"/>
      <c r="Z199" s="57"/>
      <c r="AA199" s="57"/>
      <c r="AB199" s="57"/>
      <c r="AC199" s="57"/>
      <c r="AD199" s="71"/>
      <c r="AE199" s="57"/>
      <c r="AF199" s="57"/>
      <c r="AG199" s="57"/>
      <c r="AH199" s="57"/>
      <c r="AI199" s="57"/>
      <c r="AJ199" s="57"/>
      <c r="AK199" s="57"/>
      <c r="AL199" s="57"/>
      <c r="AM199" s="71"/>
      <c r="AN199" s="57"/>
      <c r="AO199" s="57"/>
      <c r="AP199" s="57"/>
      <c r="AQ199" s="57"/>
      <c r="AR199" s="57"/>
      <c r="AS199" s="57"/>
      <c r="AT199" s="57"/>
      <c r="AU199" s="57"/>
      <c r="AV199" s="71"/>
      <c r="AW199" s="57"/>
      <c r="AX199" s="55"/>
      <c r="AY199" s="55"/>
      <c r="AZ199" s="55"/>
      <c r="BA199" s="55"/>
      <c r="BB199" s="55"/>
      <c r="BC199" s="55"/>
      <c r="BD199" s="57"/>
    </row>
    <row r="200" spans="1:56">
      <c r="A200" s="12" t="str">
        <f>Roster!A200</f>
        <v/>
      </c>
      <c r="B200" s="28">
        <f>Roster!C200</f>
        <v>0</v>
      </c>
      <c r="C200" s="55"/>
      <c r="D200" s="56"/>
      <c r="E200" s="57"/>
      <c r="F200" s="57"/>
      <c r="G200" s="57"/>
      <c r="H200" s="57"/>
      <c r="I200" s="57"/>
      <c r="J200" s="57"/>
      <c r="K200" s="45"/>
      <c r="L200" s="58"/>
      <c r="M200" s="56"/>
      <c r="N200" s="57"/>
      <c r="O200" s="57"/>
      <c r="P200" s="57"/>
      <c r="Q200" s="57"/>
      <c r="R200" s="57"/>
      <c r="S200" s="57"/>
      <c r="T200" s="45"/>
      <c r="U200" s="71"/>
      <c r="V200" s="57"/>
      <c r="W200" s="57"/>
      <c r="X200" s="57"/>
      <c r="Y200" s="57"/>
      <c r="Z200" s="57"/>
      <c r="AA200" s="57"/>
      <c r="AB200" s="57"/>
      <c r="AC200" s="57"/>
      <c r="AD200" s="71"/>
      <c r="AE200" s="57"/>
      <c r="AF200" s="57"/>
      <c r="AG200" s="57"/>
      <c r="AH200" s="57"/>
      <c r="AI200" s="57"/>
      <c r="AJ200" s="57"/>
      <c r="AK200" s="57"/>
      <c r="AL200" s="57"/>
      <c r="AM200" s="71"/>
      <c r="AN200" s="57"/>
      <c r="AO200" s="57"/>
      <c r="AP200" s="57"/>
      <c r="AQ200" s="57"/>
      <c r="AR200" s="57"/>
      <c r="AS200" s="57"/>
      <c r="AT200" s="57"/>
      <c r="AU200" s="57"/>
      <c r="AV200" s="71"/>
      <c r="AW200" s="57"/>
      <c r="AX200" s="55"/>
      <c r="AY200" s="55"/>
      <c r="AZ200" s="55"/>
      <c r="BA200" s="55"/>
      <c r="BB200" s="55"/>
      <c r="BC200" s="55"/>
      <c r="BD200" s="57"/>
    </row>
    <row r="201" spans="1:56">
      <c r="A201" s="12" t="str">
        <f>Roster!A201</f>
        <v/>
      </c>
      <c r="B201" s="28">
        <f>Roster!C201</f>
        <v>0</v>
      </c>
      <c r="C201" s="55"/>
      <c r="D201" s="56"/>
      <c r="E201" s="57"/>
      <c r="F201" s="57"/>
      <c r="G201" s="57"/>
      <c r="H201" s="57"/>
      <c r="I201" s="57"/>
      <c r="J201" s="57"/>
      <c r="K201" s="45"/>
      <c r="L201" s="58"/>
      <c r="M201" s="56"/>
      <c r="N201" s="57"/>
      <c r="O201" s="57"/>
      <c r="P201" s="57"/>
      <c r="Q201" s="57"/>
      <c r="R201" s="57"/>
      <c r="S201" s="57"/>
      <c r="T201" s="45"/>
      <c r="U201" s="71"/>
      <c r="V201" s="57"/>
      <c r="W201" s="57"/>
      <c r="X201" s="57"/>
      <c r="Y201" s="57"/>
      <c r="Z201" s="57"/>
      <c r="AA201" s="57"/>
      <c r="AB201" s="57"/>
      <c r="AC201" s="57"/>
      <c r="AD201" s="71"/>
      <c r="AE201" s="57"/>
      <c r="AF201" s="57"/>
      <c r="AG201" s="57"/>
      <c r="AH201" s="57"/>
      <c r="AI201" s="57"/>
      <c r="AJ201" s="57"/>
      <c r="AK201" s="57"/>
      <c r="AL201" s="57"/>
      <c r="AM201" s="71"/>
      <c r="AN201" s="57"/>
      <c r="AO201" s="57"/>
      <c r="AP201" s="57"/>
      <c r="AQ201" s="57"/>
      <c r="AR201" s="57"/>
      <c r="AS201" s="57"/>
      <c r="AT201" s="57"/>
      <c r="AU201" s="57"/>
      <c r="AV201" s="71"/>
      <c r="AW201" s="57"/>
      <c r="AX201" s="55"/>
      <c r="AY201" s="55"/>
      <c r="AZ201" s="55"/>
      <c r="BA201" s="55"/>
      <c r="BB201" s="55"/>
      <c r="BC201" s="55"/>
      <c r="BD201" s="57"/>
    </row>
    <row r="202" spans="1:56">
      <c r="A202" s="12" t="str">
        <f>Roster!A202</f>
        <v/>
      </c>
      <c r="B202" s="28">
        <f>Roster!C202</f>
        <v>0</v>
      </c>
      <c r="C202" s="55"/>
      <c r="D202" s="56"/>
      <c r="E202" s="57"/>
      <c r="F202" s="57"/>
      <c r="G202" s="57"/>
      <c r="H202" s="57"/>
      <c r="I202" s="57"/>
      <c r="J202" s="57"/>
      <c r="K202" s="45"/>
      <c r="L202" s="58"/>
      <c r="M202" s="56"/>
      <c r="N202" s="57"/>
      <c r="O202" s="57"/>
      <c r="P202" s="57"/>
      <c r="Q202" s="57"/>
      <c r="R202" s="57"/>
      <c r="S202" s="57"/>
      <c r="T202" s="45"/>
      <c r="U202" s="71"/>
      <c r="V202" s="57"/>
      <c r="W202" s="57"/>
      <c r="X202" s="57"/>
      <c r="Y202" s="57"/>
      <c r="Z202" s="57"/>
      <c r="AA202" s="57"/>
      <c r="AB202" s="57"/>
      <c r="AC202" s="57"/>
      <c r="AD202" s="71"/>
      <c r="AE202" s="57"/>
      <c r="AF202" s="57"/>
      <c r="AG202" s="57"/>
      <c r="AH202" s="57"/>
      <c r="AI202" s="57"/>
      <c r="AJ202" s="57"/>
      <c r="AK202" s="57"/>
      <c r="AL202" s="57"/>
      <c r="AM202" s="71"/>
      <c r="AN202" s="57"/>
      <c r="AO202" s="57"/>
      <c r="AP202" s="57"/>
      <c r="AQ202" s="57"/>
      <c r="AR202" s="57"/>
      <c r="AS202" s="57"/>
      <c r="AT202" s="57"/>
      <c r="AU202" s="57"/>
      <c r="AV202" s="71"/>
      <c r="AW202" s="57"/>
      <c r="AX202" s="55"/>
      <c r="AY202" s="55"/>
      <c r="AZ202" s="55"/>
      <c r="BA202" s="55"/>
      <c r="BB202" s="55"/>
      <c r="BC202" s="55"/>
      <c r="BD202" s="57"/>
    </row>
    <row r="203" spans="1:56">
      <c r="A203" s="12" t="str">
        <f>Roster!A203</f>
        <v/>
      </c>
      <c r="B203" s="28">
        <f>Roster!C203</f>
        <v>0</v>
      </c>
      <c r="C203" s="55"/>
      <c r="D203" s="56"/>
      <c r="E203" s="57"/>
      <c r="F203" s="57"/>
      <c r="G203" s="57"/>
      <c r="H203" s="57"/>
      <c r="I203" s="57"/>
      <c r="J203" s="57"/>
      <c r="K203" s="45"/>
      <c r="L203" s="58"/>
      <c r="M203" s="56"/>
      <c r="N203" s="57"/>
      <c r="O203" s="57"/>
      <c r="P203" s="57"/>
      <c r="Q203" s="57"/>
      <c r="R203" s="57"/>
      <c r="S203" s="57"/>
      <c r="T203" s="45"/>
      <c r="U203" s="71"/>
      <c r="V203" s="57"/>
      <c r="W203" s="57"/>
      <c r="X203" s="57"/>
      <c r="Y203" s="57"/>
      <c r="Z203" s="57"/>
      <c r="AA203" s="57"/>
      <c r="AB203" s="57"/>
      <c r="AC203" s="57"/>
      <c r="AD203" s="71"/>
      <c r="AE203" s="57"/>
      <c r="AF203" s="57"/>
      <c r="AG203" s="57"/>
      <c r="AH203" s="57"/>
      <c r="AI203" s="57"/>
      <c r="AJ203" s="57"/>
      <c r="AK203" s="57"/>
      <c r="AL203" s="57"/>
      <c r="AM203" s="71"/>
      <c r="AN203" s="57"/>
      <c r="AO203" s="57"/>
      <c r="AP203" s="57"/>
      <c r="AQ203" s="57"/>
      <c r="AR203" s="57"/>
      <c r="AS203" s="57"/>
      <c r="AT203" s="57"/>
      <c r="AU203" s="57"/>
      <c r="AV203" s="71"/>
      <c r="AW203" s="57"/>
      <c r="AX203" s="55"/>
      <c r="AY203" s="55"/>
      <c r="AZ203" s="55"/>
      <c r="BA203" s="55"/>
      <c r="BB203" s="55"/>
      <c r="BC203" s="55"/>
      <c r="BD203" s="57"/>
    </row>
    <row r="204" spans="1:56">
      <c r="A204" s="12" t="str">
        <f>Roster!A204</f>
        <v/>
      </c>
      <c r="B204" s="28">
        <f>Roster!C204</f>
        <v>0</v>
      </c>
      <c r="C204" s="55"/>
      <c r="D204" s="56"/>
      <c r="E204" s="57"/>
      <c r="F204" s="57"/>
      <c r="G204" s="57"/>
      <c r="H204" s="57"/>
      <c r="I204" s="57"/>
      <c r="J204" s="57"/>
      <c r="K204" s="45"/>
      <c r="L204" s="58"/>
      <c r="M204" s="56"/>
      <c r="N204" s="57"/>
      <c r="O204" s="57"/>
      <c r="P204" s="57"/>
      <c r="Q204" s="57"/>
      <c r="R204" s="57"/>
      <c r="S204" s="57"/>
      <c r="T204" s="45"/>
      <c r="U204" s="71"/>
      <c r="V204" s="57"/>
      <c r="W204" s="57"/>
      <c r="X204" s="57"/>
      <c r="Y204" s="57"/>
      <c r="Z204" s="57"/>
      <c r="AA204" s="57"/>
      <c r="AB204" s="57"/>
      <c r="AC204" s="57"/>
      <c r="AD204" s="71"/>
      <c r="AE204" s="57"/>
      <c r="AF204" s="57"/>
      <c r="AG204" s="57"/>
      <c r="AH204" s="57"/>
      <c r="AI204" s="57"/>
      <c r="AJ204" s="57"/>
      <c r="AK204" s="57"/>
      <c r="AL204" s="57"/>
      <c r="AM204" s="71"/>
      <c r="AN204" s="57"/>
      <c r="AO204" s="57"/>
      <c r="AP204" s="57"/>
      <c r="AQ204" s="57"/>
      <c r="AR204" s="57"/>
      <c r="AS204" s="57"/>
      <c r="AT204" s="57"/>
      <c r="AU204" s="57"/>
      <c r="AV204" s="71"/>
      <c r="AW204" s="57"/>
      <c r="AX204" s="55"/>
      <c r="AY204" s="55"/>
      <c r="AZ204" s="55"/>
      <c r="BA204" s="55"/>
      <c r="BB204" s="55"/>
      <c r="BC204" s="55"/>
      <c r="BD204" s="57"/>
    </row>
    <row r="205" spans="1:56">
      <c r="A205" s="12" t="str">
        <f>Roster!A205</f>
        <v/>
      </c>
      <c r="B205" s="28">
        <f>Roster!C205</f>
        <v>0</v>
      </c>
      <c r="C205" s="55"/>
      <c r="D205" s="56"/>
      <c r="E205" s="57"/>
      <c r="F205" s="57"/>
      <c r="G205" s="57"/>
      <c r="H205" s="57"/>
      <c r="I205" s="57"/>
      <c r="J205" s="57"/>
      <c r="K205" s="45"/>
      <c r="L205" s="58"/>
      <c r="M205" s="56"/>
      <c r="N205" s="57"/>
      <c r="O205" s="57"/>
      <c r="P205" s="57"/>
      <c r="Q205" s="57"/>
      <c r="R205" s="57"/>
      <c r="S205" s="57"/>
      <c r="T205" s="45"/>
      <c r="U205" s="71"/>
      <c r="V205" s="57"/>
      <c r="W205" s="57"/>
      <c r="X205" s="57"/>
      <c r="Y205" s="57"/>
      <c r="Z205" s="57"/>
      <c r="AA205" s="57"/>
      <c r="AB205" s="57"/>
      <c r="AC205" s="57"/>
      <c r="AD205" s="71"/>
      <c r="AE205" s="57"/>
      <c r="AF205" s="57"/>
      <c r="AG205" s="57"/>
      <c r="AH205" s="57"/>
      <c r="AI205" s="57"/>
      <c r="AJ205" s="57"/>
      <c r="AK205" s="57"/>
      <c r="AL205" s="57"/>
      <c r="AM205" s="71"/>
      <c r="AN205" s="57"/>
      <c r="AO205" s="57"/>
      <c r="AP205" s="57"/>
      <c r="AQ205" s="57"/>
      <c r="AR205" s="57"/>
      <c r="AS205" s="57"/>
      <c r="AT205" s="57"/>
      <c r="AU205" s="57"/>
      <c r="AV205" s="71"/>
      <c r="AW205" s="57"/>
      <c r="AX205" s="55"/>
      <c r="AY205" s="55"/>
      <c r="AZ205" s="55"/>
      <c r="BA205" s="55"/>
      <c r="BB205" s="55"/>
      <c r="BC205" s="55"/>
      <c r="BD205" s="57"/>
    </row>
    <row r="206" spans="1:56">
      <c r="A206" s="12" t="str">
        <f>Roster!A206</f>
        <v/>
      </c>
      <c r="B206" s="28">
        <f>Roster!C206</f>
        <v>0</v>
      </c>
      <c r="C206" s="55"/>
      <c r="D206" s="56"/>
      <c r="E206" s="57"/>
      <c r="F206" s="57"/>
      <c r="G206" s="57"/>
      <c r="H206" s="57"/>
      <c r="I206" s="57"/>
      <c r="J206" s="57"/>
      <c r="K206" s="45"/>
      <c r="L206" s="58"/>
      <c r="M206" s="56"/>
      <c r="N206" s="57"/>
      <c r="O206" s="57"/>
      <c r="P206" s="57"/>
      <c r="Q206" s="57"/>
      <c r="R206" s="57"/>
      <c r="S206" s="57"/>
      <c r="T206" s="45"/>
      <c r="U206" s="71"/>
      <c r="V206" s="57"/>
      <c r="W206" s="57"/>
      <c r="X206" s="57"/>
      <c r="Y206" s="57"/>
      <c r="Z206" s="57"/>
      <c r="AA206" s="57"/>
      <c r="AB206" s="57"/>
      <c r="AC206" s="57"/>
      <c r="AD206" s="71"/>
      <c r="AE206" s="57"/>
      <c r="AF206" s="57"/>
      <c r="AG206" s="57"/>
      <c r="AH206" s="57"/>
      <c r="AI206" s="57"/>
      <c r="AJ206" s="57"/>
      <c r="AK206" s="57"/>
      <c r="AL206" s="57"/>
      <c r="AM206" s="71"/>
      <c r="AN206" s="57"/>
      <c r="AO206" s="57"/>
      <c r="AP206" s="57"/>
      <c r="AQ206" s="57"/>
      <c r="AR206" s="57"/>
      <c r="AS206" s="57"/>
      <c r="AT206" s="57"/>
      <c r="AU206" s="57"/>
      <c r="AV206" s="71"/>
      <c r="AW206" s="57"/>
      <c r="AX206" s="55"/>
      <c r="AY206" s="55"/>
      <c r="AZ206" s="55"/>
      <c r="BA206" s="55"/>
      <c r="BB206" s="55"/>
      <c r="BC206" s="55"/>
      <c r="BD206" s="57"/>
    </row>
    <row r="207" spans="1:56">
      <c r="A207" s="12" t="str">
        <f>Roster!A207</f>
        <v/>
      </c>
      <c r="B207" s="28">
        <f>Roster!C207</f>
        <v>0</v>
      </c>
      <c r="C207" s="55"/>
      <c r="D207" s="56"/>
      <c r="E207" s="57"/>
      <c r="F207" s="57"/>
      <c r="G207" s="57"/>
      <c r="H207" s="57"/>
      <c r="I207" s="57"/>
      <c r="J207" s="57"/>
      <c r="K207" s="45"/>
      <c r="L207" s="58"/>
      <c r="M207" s="56"/>
      <c r="N207" s="57"/>
      <c r="O207" s="57"/>
      <c r="P207" s="57"/>
      <c r="Q207" s="57"/>
      <c r="R207" s="57"/>
      <c r="S207" s="57"/>
      <c r="T207" s="45"/>
      <c r="U207" s="71"/>
      <c r="V207" s="57"/>
      <c r="W207" s="57"/>
      <c r="X207" s="57"/>
      <c r="Y207" s="57"/>
      <c r="Z207" s="57"/>
      <c r="AA207" s="57"/>
      <c r="AB207" s="57"/>
      <c r="AC207" s="57"/>
      <c r="AD207" s="71"/>
      <c r="AE207" s="57"/>
      <c r="AF207" s="57"/>
      <c r="AG207" s="57"/>
      <c r="AH207" s="57"/>
      <c r="AI207" s="57"/>
      <c r="AJ207" s="57"/>
      <c r="AK207" s="57"/>
      <c r="AL207" s="57"/>
      <c r="AM207" s="71"/>
      <c r="AN207" s="57"/>
      <c r="AO207" s="57"/>
      <c r="AP207" s="57"/>
      <c r="AQ207" s="57"/>
      <c r="AR207" s="57"/>
      <c r="AS207" s="57"/>
      <c r="AT207" s="57"/>
      <c r="AU207" s="57"/>
      <c r="AV207" s="71"/>
      <c r="AW207" s="57"/>
      <c r="AX207" s="55"/>
      <c r="AY207" s="55"/>
      <c r="AZ207" s="55"/>
      <c r="BA207" s="55"/>
      <c r="BB207" s="55"/>
      <c r="BC207" s="55"/>
      <c r="BD207" s="57"/>
    </row>
    <row r="208" spans="1:56">
      <c r="A208" s="12" t="str">
        <f>Roster!A208</f>
        <v/>
      </c>
      <c r="B208" s="28">
        <f>Roster!C208</f>
        <v>0</v>
      </c>
      <c r="C208" s="55"/>
      <c r="D208" s="56"/>
      <c r="E208" s="57"/>
      <c r="F208" s="57"/>
      <c r="G208" s="57"/>
      <c r="H208" s="57"/>
      <c r="I208" s="57"/>
      <c r="J208" s="57"/>
      <c r="K208" s="45"/>
      <c r="L208" s="58"/>
      <c r="M208" s="56"/>
      <c r="N208" s="57"/>
      <c r="O208" s="57"/>
      <c r="P208" s="57"/>
      <c r="Q208" s="57"/>
      <c r="R208" s="57"/>
      <c r="S208" s="57"/>
      <c r="T208" s="45"/>
      <c r="U208" s="71"/>
      <c r="V208" s="57"/>
      <c r="W208" s="57"/>
      <c r="X208" s="57"/>
      <c r="Y208" s="57"/>
      <c r="Z208" s="57"/>
      <c r="AA208" s="57"/>
      <c r="AB208" s="57"/>
      <c r="AC208" s="57"/>
      <c r="AD208" s="71"/>
      <c r="AE208" s="57"/>
      <c r="AF208" s="57"/>
      <c r="AG208" s="57"/>
      <c r="AH208" s="57"/>
      <c r="AI208" s="57"/>
      <c r="AJ208" s="57"/>
      <c r="AK208" s="57"/>
      <c r="AL208" s="57"/>
      <c r="AM208" s="71"/>
      <c r="AN208" s="57"/>
      <c r="AO208" s="57"/>
      <c r="AP208" s="57"/>
      <c r="AQ208" s="57"/>
      <c r="AR208" s="57"/>
      <c r="AS208" s="57"/>
      <c r="AT208" s="57"/>
      <c r="AU208" s="57"/>
      <c r="AV208" s="71"/>
      <c r="AW208" s="57"/>
      <c r="AX208" s="55"/>
      <c r="AY208" s="55"/>
      <c r="AZ208" s="55"/>
      <c r="BA208" s="55"/>
      <c r="BB208" s="55"/>
      <c r="BC208" s="55"/>
      <c r="BD208" s="57"/>
    </row>
    <row r="209" spans="1:56">
      <c r="A209" s="12" t="str">
        <f>Roster!A209</f>
        <v/>
      </c>
      <c r="B209" s="28">
        <f>Roster!C209</f>
        <v>0</v>
      </c>
      <c r="C209" s="55"/>
      <c r="D209" s="56"/>
      <c r="E209" s="57"/>
      <c r="F209" s="57"/>
      <c r="G209" s="57"/>
      <c r="H209" s="57"/>
      <c r="I209" s="57"/>
      <c r="J209" s="57"/>
      <c r="K209" s="45"/>
      <c r="L209" s="58"/>
      <c r="M209" s="56"/>
      <c r="N209" s="57"/>
      <c r="O209" s="57"/>
      <c r="P209" s="57"/>
      <c r="Q209" s="57"/>
      <c r="R209" s="57"/>
      <c r="S209" s="57"/>
      <c r="T209" s="45"/>
      <c r="U209" s="71"/>
      <c r="V209" s="57"/>
      <c r="W209" s="57"/>
      <c r="X209" s="57"/>
      <c r="Y209" s="57"/>
      <c r="Z209" s="57"/>
      <c r="AA209" s="57"/>
      <c r="AB209" s="57"/>
      <c r="AC209" s="57"/>
      <c r="AD209" s="71"/>
      <c r="AE209" s="57"/>
      <c r="AF209" s="57"/>
      <c r="AG209" s="57"/>
      <c r="AH209" s="57"/>
      <c r="AI209" s="57"/>
      <c r="AJ209" s="57"/>
      <c r="AK209" s="57"/>
      <c r="AL209" s="57"/>
      <c r="AM209" s="71"/>
      <c r="AN209" s="57"/>
      <c r="AO209" s="57"/>
      <c r="AP209" s="57"/>
      <c r="AQ209" s="57"/>
      <c r="AR209" s="57"/>
      <c r="AS209" s="57"/>
      <c r="AT209" s="57"/>
      <c r="AU209" s="57"/>
      <c r="AV209" s="71"/>
      <c r="AW209" s="57"/>
      <c r="AX209" s="55"/>
      <c r="AY209" s="55"/>
      <c r="AZ209" s="55"/>
      <c r="BA209" s="55"/>
      <c r="BB209" s="55"/>
      <c r="BC209" s="55"/>
      <c r="BD209" s="57"/>
    </row>
    <row r="210" spans="1:56">
      <c r="A210" s="12" t="str">
        <f>Roster!A210</f>
        <v/>
      </c>
      <c r="B210" s="28">
        <f>Roster!C210</f>
        <v>0</v>
      </c>
      <c r="C210" s="55"/>
      <c r="D210" s="56"/>
      <c r="E210" s="57"/>
      <c r="F210" s="57"/>
      <c r="G210" s="57"/>
      <c r="H210" s="57"/>
      <c r="I210" s="57"/>
      <c r="J210" s="57"/>
      <c r="K210" s="45"/>
      <c r="L210" s="58"/>
      <c r="M210" s="56"/>
      <c r="N210" s="57"/>
      <c r="O210" s="57"/>
      <c r="P210" s="57"/>
      <c r="Q210" s="57"/>
      <c r="R210" s="57"/>
      <c r="S210" s="57"/>
      <c r="T210" s="45"/>
      <c r="U210" s="71"/>
      <c r="V210" s="57"/>
      <c r="W210" s="57"/>
      <c r="X210" s="57"/>
      <c r="Y210" s="57"/>
      <c r="Z210" s="57"/>
      <c r="AA210" s="57"/>
      <c r="AB210" s="57"/>
      <c r="AC210" s="57"/>
      <c r="AD210" s="71"/>
      <c r="AE210" s="57"/>
      <c r="AF210" s="57"/>
      <c r="AG210" s="57"/>
      <c r="AH210" s="57"/>
      <c r="AI210" s="57"/>
      <c r="AJ210" s="57"/>
      <c r="AK210" s="57"/>
      <c r="AL210" s="57"/>
      <c r="AM210" s="71"/>
      <c r="AN210" s="57"/>
      <c r="AO210" s="57"/>
      <c r="AP210" s="57"/>
      <c r="AQ210" s="57"/>
      <c r="AR210" s="57"/>
      <c r="AS210" s="57"/>
      <c r="AT210" s="57"/>
      <c r="AU210" s="57"/>
      <c r="AV210" s="71"/>
      <c r="AW210" s="57"/>
      <c r="AX210" s="55"/>
      <c r="AY210" s="55"/>
      <c r="AZ210" s="55"/>
      <c r="BA210" s="55"/>
      <c r="BB210" s="55"/>
      <c r="BC210" s="55"/>
      <c r="BD210" s="57"/>
    </row>
    <row r="211" spans="1:56">
      <c r="A211" s="12" t="str">
        <f>Roster!A211</f>
        <v/>
      </c>
      <c r="B211" s="28">
        <f>Roster!C211</f>
        <v>0</v>
      </c>
      <c r="C211" s="55"/>
      <c r="D211" s="56"/>
      <c r="E211" s="57"/>
      <c r="F211" s="57"/>
      <c r="G211" s="57"/>
      <c r="H211" s="57"/>
      <c r="I211" s="57"/>
      <c r="J211" s="57"/>
      <c r="K211" s="45"/>
      <c r="L211" s="58"/>
      <c r="M211" s="56"/>
      <c r="N211" s="57"/>
      <c r="O211" s="57"/>
      <c r="P211" s="57"/>
      <c r="Q211" s="57"/>
      <c r="R211" s="57"/>
      <c r="S211" s="57"/>
      <c r="T211" s="45"/>
      <c r="U211" s="71"/>
      <c r="V211" s="57"/>
      <c r="W211" s="57"/>
      <c r="X211" s="57"/>
      <c r="Y211" s="57"/>
      <c r="Z211" s="57"/>
      <c r="AA211" s="57"/>
      <c r="AB211" s="57"/>
      <c r="AC211" s="57"/>
      <c r="AD211" s="71"/>
      <c r="AE211" s="57"/>
      <c r="AF211" s="57"/>
      <c r="AG211" s="57"/>
      <c r="AH211" s="57"/>
      <c r="AI211" s="57"/>
      <c r="AJ211" s="57"/>
      <c r="AK211" s="57"/>
      <c r="AL211" s="57"/>
      <c r="AM211" s="71"/>
      <c r="AN211" s="57"/>
      <c r="AO211" s="57"/>
      <c r="AP211" s="57"/>
      <c r="AQ211" s="57"/>
      <c r="AR211" s="57"/>
      <c r="AS211" s="57"/>
      <c r="AT211" s="57"/>
      <c r="AU211" s="57"/>
      <c r="AV211" s="71"/>
      <c r="AW211" s="57"/>
      <c r="AX211" s="55"/>
      <c r="AY211" s="55"/>
      <c r="AZ211" s="55"/>
      <c r="BA211" s="55"/>
      <c r="BB211" s="55"/>
      <c r="BC211" s="55"/>
      <c r="BD211" s="57"/>
    </row>
    <row r="212" spans="1:56">
      <c r="A212" s="12" t="str">
        <f>Roster!A212</f>
        <v/>
      </c>
      <c r="B212" s="28">
        <f>Roster!C212</f>
        <v>0</v>
      </c>
      <c r="C212" s="55"/>
      <c r="D212" s="56"/>
      <c r="E212" s="57"/>
      <c r="F212" s="57"/>
      <c r="G212" s="57"/>
      <c r="H212" s="57"/>
      <c r="I212" s="57"/>
      <c r="J212" s="57"/>
      <c r="K212" s="45"/>
      <c r="L212" s="58"/>
      <c r="M212" s="56"/>
      <c r="N212" s="57"/>
      <c r="O212" s="57"/>
      <c r="P212" s="57"/>
      <c r="Q212" s="57"/>
      <c r="R212" s="57"/>
      <c r="S212" s="57"/>
      <c r="T212" s="45"/>
      <c r="U212" s="71"/>
      <c r="V212" s="57"/>
      <c r="W212" s="57"/>
      <c r="X212" s="57"/>
      <c r="Y212" s="57"/>
      <c r="Z212" s="57"/>
      <c r="AA212" s="57"/>
      <c r="AB212" s="57"/>
      <c r="AC212" s="57"/>
      <c r="AD212" s="71"/>
      <c r="AE212" s="57"/>
      <c r="AF212" s="57"/>
      <c r="AG212" s="57"/>
      <c r="AH212" s="57"/>
      <c r="AI212" s="57"/>
      <c r="AJ212" s="57"/>
      <c r="AK212" s="57"/>
      <c r="AL212" s="57"/>
      <c r="AM212" s="71"/>
      <c r="AN212" s="57"/>
      <c r="AO212" s="57"/>
      <c r="AP212" s="57"/>
      <c r="AQ212" s="57"/>
      <c r="AR212" s="57"/>
      <c r="AS212" s="57"/>
      <c r="AT212" s="57"/>
      <c r="AU212" s="57"/>
      <c r="AV212" s="71"/>
      <c r="AW212" s="57"/>
      <c r="AX212" s="55"/>
      <c r="AY212" s="55"/>
      <c r="AZ212" s="55"/>
      <c r="BA212" s="55"/>
      <c r="BB212" s="55"/>
      <c r="BC212" s="55"/>
      <c r="BD212" s="57"/>
    </row>
    <row r="213" spans="1:56">
      <c r="A213" s="12" t="str">
        <f>Roster!A213</f>
        <v/>
      </c>
      <c r="B213" s="28">
        <f>Roster!C213</f>
        <v>0</v>
      </c>
      <c r="C213" s="55"/>
      <c r="D213" s="56"/>
      <c r="E213" s="57"/>
      <c r="F213" s="57"/>
      <c r="G213" s="57"/>
      <c r="H213" s="57"/>
      <c r="I213" s="57"/>
      <c r="J213" s="57"/>
      <c r="K213" s="45"/>
      <c r="L213" s="58"/>
      <c r="M213" s="56"/>
      <c r="N213" s="57"/>
      <c r="O213" s="57"/>
      <c r="P213" s="57"/>
      <c r="Q213" s="57"/>
      <c r="R213" s="57"/>
      <c r="S213" s="57"/>
      <c r="T213" s="45"/>
      <c r="U213" s="71"/>
      <c r="V213" s="57"/>
      <c r="W213" s="57"/>
      <c r="X213" s="57"/>
      <c r="Y213" s="57"/>
      <c r="Z213" s="57"/>
      <c r="AA213" s="57"/>
      <c r="AB213" s="57"/>
      <c r="AC213" s="57"/>
      <c r="AD213" s="71"/>
      <c r="AE213" s="57"/>
      <c r="AF213" s="57"/>
      <c r="AG213" s="57"/>
      <c r="AH213" s="57"/>
      <c r="AI213" s="57"/>
      <c r="AJ213" s="57"/>
      <c r="AK213" s="57"/>
      <c r="AL213" s="57"/>
      <c r="AM213" s="71"/>
      <c r="AN213" s="57"/>
      <c r="AO213" s="57"/>
      <c r="AP213" s="57"/>
      <c r="AQ213" s="57"/>
      <c r="AR213" s="57"/>
      <c r="AS213" s="57"/>
      <c r="AT213" s="57"/>
      <c r="AU213" s="57"/>
      <c r="AV213" s="71"/>
      <c r="AW213" s="57"/>
      <c r="AX213" s="55"/>
      <c r="AY213" s="55"/>
      <c r="AZ213" s="55"/>
      <c r="BA213" s="55"/>
      <c r="BB213" s="55"/>
      <c r="BC213" s="55"/>
      <c r="BD213" s="57"/>
    </row>
    <row r="214" spans="1:56">
      <c r="A214" s="12" t="str">
        <f>Roster!A214</f>
        <v/>
      </c>
      <c r="B214" s="28">
        <f>Roster!C214</f>
        <v>0</v>
      </c>
      <c r="C214" s="55"/>
      <c r="D214" s="56"/>
      <c r="E214" s="57"/>
      <c r="F214" s="57"/>
      <c r="G214" s="57"/>
      <c r="H214" s="57"/>
      <c r="I214" s="57"/>
      <c r="J214" s="57"/>
      <c r="K214" s="45"/>
      <c r="L214" s="58"/>
      <c r="M214" s="56"/>
      <c r="N214" s="57"/>
      <c r="O214" s="57"/>
      <c r="P214" s="57"/>
      <c r="Q214" s="57"/>
      <c r="R214" s="57"/>
      <c r="S214" s="57"/>
      <c r="T214" s="45"/>
      <c r="U214" s="71"/>
      <c r="V214" s="57"/>
      <c r="W214" s="57"/>
      <c r="X214" s="57"/>
      <c r="Y214" s="57"/>
      <c r="Z214" s="57"/>
      <c r="AA214" s="57"/>
      <c r="AB214" s="57"/>
      <c r="AC214" s="57"/>
      <c r="AD214" s="71"/>
      <c r="AE214" s="57"/>
      <c r="AF214" s="57"/>
      <c r="AG214" s="57"/>
      <c r="AH214" s="57"/>
      <c r="AI214" s="57"/>
      <c r="AJ214" s="57"/>
      <c r="AK214" s="57"/>
      <c r="AL214" s="57"/>
      <c r="AM214" s="71"/>
      <c r="AN214" s="57"/>
      <c r="AO214" s="57"/>
      <c r="AP214" s="57"/>
      <c r="AQ214" s="57"/>
      <c r="AR214" s="57"/>
      <c r="AS214" s="57"/>
      <c r="AT214" s="57"/>
      <c r="AU214" s="57"/>
      <c r="AV214" s="71"/>
      <c r="AW214" s="57"/>
      <c r="AX214" s="55"/>
      <c r="AY214" s="55"/>
      <c r="AZ214" s="55"/>
      <c r="BA214" s="55"/>
      <c r="BB214" s="55"/>
      <c r="BC214" s="55"/>
      <c r="BD214" s="57"/>
    </row>
    <row r="215" spans="1:56">
      <c r="A215" s="12" t="str">
        <f>Roster!A215</f>
        <v/>
      </c>
      <c r="B215" s="28">
        <f>Roster!C215</f>
        <v>0</v>
      </c>
      <c r="C215" s="55"/>
      <c r="D215" s="56"/>
      <c r="E215" s="57"/>
      <c r="F215" s="57"/>
      <c r="G215" s="57"/>
      <c r="H215" s="57"/>
      <c r="I215" s="57"/>
      <c r="J215" s="57"/>
      <c r="K215" s="45"/>
      <c r="L215" s="58"/>
      <c r="M215" s="56"/>
      <c r="N215" s="57"/>
      <c r="O215" s="57"/>
      <c r="P215" s="57"/>
      <c r="Q215" s="57"/>
      <c r="R215" s="57"/>
      <c r="S215" s="57"/>
      <c r="T215" s="45"/>
      <c r="U215" s="71"/>
      <c r="V215" s="57"/>
      <c r="W215" s="57"/>
      <c r="X215" s="57"/>
      <c r="Y215" s="57"/>
      <c r="Z215" s="57"/>
      <c r="AA215" s="57"/>
      <c r="AB215" s="57"/>
      <c r="AC215" s="57"/>
      <c r="AD215" s="71"/>
      <c r="AE215" s="57"/>
      <c r="AF215" s="57"/>
      <c r="AG215" s="57"/>
      <c r="AH215" s="57"/>
      <c r="AI215" s="57"/>
      <c r="AJ215" s="57"/>
      <c r="AK215" s="57"/>
      <c r="AL215" s="57"/>
      <c r="AM215" s="71"/>
      <c r="AN215" s="57"/>
      <c r="AO215" s="57"/>
      <c r="AP215" s="57"/>
      <c r="AQ215" s="57"/>
      <c r="AR215" s="57"/>
      <c r="AS215" s="57"/>
      <c r="AT215" s="57"/>
      <c r="AU215" s="57"/>
      <c r="AV215" s="71"/>
      <c r="AW215" s="57"/>
      <c r="AX215" s="55"/>
      <c r="AY215" s="55"/>
      <c r="AZ215" s="55"/>
      <c r="BA215" s="55"/>
      <c r="BB215" s="55"/>
      <c r="BC215" s="55"/>
      <c r="BD215" s="57"/>
    </row>
    <row r="216" spans="1:56">
      <c r="A216" s="12" t="str">
        <f>Roster!A216</f>
        <v/>
      </c>
      <c r="B216" s="28">
        <f>Roster!C216</f>
        <v>0</v>
      </c>
      <c r="C216" s="55"/>
      <c r="D216" s="56"/>
      <c r="E216" s="57"/>
      <c r="F216" s="57"/>
      <c r="G216" s="57"/>
      <c r="H216" s="57"/>
      <c r="I216" s="57"/>
      <c r="J216" s="57"/>
      <c r="K216" s="45"/>
      <c r="L216" s="58"/>
      <c r="M216" s="56"/>
      <c r="N216" s="57"/>
      <c r="O216" s="57"/>
      <c r="P216" s="57"/>
      <c r="Q216" s="57"/>
      <c r="R216" s="57"/>
      <c r="S216" s="57"/>
      <c r="T216" s="45"/>
      <c r="U216" s="71"/>
      <c r="V216" s="57"/>
      <c r="W216" s="57"/>
      <c r="X216" s="57"/>
      <c r="Y216" s="57"/>
      <c r="Z216" s="57"/>
      <c r="AA216" s="57"/>
      <c r="AB216" s="57"/>
      <c r="AC216" s="57"/>
      <c r="AD216" s="71"/>
      <c r="AE216" s="57"/>
      <c r="AF216" s="57"/>
      <c r="AG216" s="57"/>
      <c r="AH216" s="57"/>
      <c r="AI216" s="57"/>
      <c r="AJ216" s="57"/>
      <c r="AK216" s="57"/>
      <c r="AL216" s="57"/>
      <c r="AM216" s="71"/>
      <c r="AN216" s="57"/>
      <c r="AO216" s="57"/>
      <c r="AP216" s="57"/>
      <c r="AQ216" s="57"/>
      <c r="AR216" s="57"/>
      <c r="AS216" s="57"/>
      <c r="AT216" s="57"/>
      <c r="AU216" s="57"/>
      <c r="AV216" s="71"/>
      <c r="AW216" s="57"/>
      <c r="AX216" s="55"/>
      <c r="AY216" s="55"/>
      <c r="AZ216" s="55"/>
      <c r="BA216" s="55"/>
      <c r="BB216" s="55"/>
      <c r="BC216" s="55"/>
      <c r="BD216" s="57"/>
    </row>
    <row r="217" spans="1:56">
      <c r="A217" s="12" t="str">
        <f>Roster!A217</f>
        <v/>
      </c>
      <c r="B217" s="28">
        <f>Roster!C217</f>
        <v>0</v>
      </c>
      <c r="C217" s="55"/>
      <c r="D217" s="56"/>
      <c r="E217" s="57"/>
      <c r="F217" s="57"/>
      <c r="G217" s="57"/>
      <c r="H217" s="57"/>
      <c r="I217" s="57"/>
      <c r="J217" s="57"/>
      <c r="K217" s="45"/>
      <c r="L217" s="58"/>
      <c r="M217" s="56"/>
      <c r="N217" s="57"/>
      <c r="O217" s="57"/>
      <c r="P217" s="57"/>
      <c r="Q217" s="57"/>
      <c r="R217" s="57"/>
      <c r="S217" s="57"/>
      <c r="T217" s="45"/>
      <c r="U217" s="71"/>
      <c r="V217" s="57"/>
      <c r="W217" s="57"/>
      <c r="X217" s="57"/>
      <c r="Y217" s="57"/>
      <c r="Z217" s="57"/>
      <c r="AA217" s="57"/>
      <c r="AB217" s="57"/>
      <c r="AC217" s="57"/>
      <c r="AD217" s="71"/>
      <c r="AE217" s="57"/>
      <c r="AF217" s="57"/>
      <c r="AG217" s="57"/>
      <c r="AH217" s="57"/>
      <c r="AI217" s="57"/>
      <c r="AJ217" s="57"/>
      <c r="AK217" s="57"/>
      <c r="AL217" s="57"/>
      <c r="AM217" s="71"/>
      <c r="AN217" s="57"/>
      <c r="AO217" s="57"/>
      <c r="AP217" s="57"/>
      <c r="AQ217" s="57"/>
      <c r="AR217" s="57"/>
      <c r="AS217" s="57"/>
      <c r="AT217" s="57"/>
      <c r="AU217" s="57"/>
      <c r="AV217" s="71"/>
      <c r="AW217" s="57"/>
      <c r="AX217" s="55"/>
      <c r="AY217" s="55"/>
      <c r="AZ217" s="55"/>
      <c r="BA217" s="55"/>
      <c r="BB217" s="55"/>
      <c r="BC217" s="55"/>
      <c r="BD217" s="57"/>
    </row>
    <row r="218" spans="1:56">
      <c r="A218" s="12" t="str">
        <f>Roster!A218</f>
        <v/>
      </c>
      <c r="B218" s="28">
        <f>Roster!C218</f>
        <v>0</v>
      </c>
      <c r="C218" s="55"/>
      <c r="D218" s="56"/>
      <c r="E218" s="57"/>
      <c r="F218" s="57"/>
      <c r="G218" s="57"/>
      <c r="H218" s="57"/>
      <c r="I218" s="57"/>
      <c r="J218" s="57"/>
      <c r="K218" s="45"/>
      <c r="L218" s="58"/>
      <c r="M218" s="56"/>
      <c r="N218" s="57"/>
      <c r="O218" s="57"/>
      <c r="P218" s="57"/>
      <c r="Q218" s="57"/>
      <c r="R218" s="57"/>
      <c r="S218" s="57"/>
      <c r="T218" s="45"/>
      <c r="U218" s="71"/>
      <c r="V218" s="57"/>
      <c r="W218" s="57"/>
      <c r="X218" s="57"/>
      <c r="Y218" s="57"/>
      <c r="Z218" s="57"/>
      <c r="AA218" s="57"/>
      <c r="AB218" s="57"/>
      <c r="AC218" s="57"/>
      <c r="AD218" s="71"/>
      <c r="AE218" s="57"/>
      <c r="AF218" s="57"/>
      <c r="AG218" s="57"/>
      <c r="AH218" s="57"/>
      <c r="AI218" s="57"/>
      <c r="AJ218" s="57"/>
      <c r="AK218" s="57"/>
      <c r="AL218" s="57"/>
      <c r="AM218" s="71"/>
      <c r="AN218" s="57"/>
      <c r="AO218" s="57"/>
      <c r="AP218" s="57"/>
      <c r="AQ218" s="57"/>
      <c r="AR218" s="57"/>
      <c r="AS218" s="57"/>
      <c r="AT218" s="57"/>
      <c r="AU218" s="57"/>
      <c r="AV218" s="71"/>
      <c r="AW218" s="57"/>
      <c r="AX218" s="55"/>
      <c r="AY218" s="55"/>
      <c r="AZ218" s="55"/>
      <c r="BA218" s="55"/>
      <c r="BB218" s="55"/>
      <c r="BC218" s="55"/>
      <c r="BD218" s="57"/>
    </row>
    <row r="219" spans="1:56">
      <c r="A219" s="12" t="str">
        <f>Roster!A219</f>
        <v/>
      </c>
      <c r="B219" s="28">
        <f>Roster!C219</f>
        <v>0</v>
      </c>
      <c r="C219" s="55"/>
      <c r="D219" s="56"/>
      <c r="E219" s="57"/>
      <c r="F219" s="57"/>
      <c r="G219" s="57"/>
      <c r="H219" s="57"/>
      <c r="I219" s="57"/>
      <c r="J219" s="57"/>
      <c r="K219" s="45"/>
      <c r="L219" s="58"/>
      <c r="M219" s="56"/>
      <c r="N219" s="57"/>
      <c r="O219" s="57"/>
      <c r="P219" s="57"/>
      <c r="Q219" s="57"/>
      <c r="R219" s="57"/>
      <c r="S219" s="57"/>
      <c r="T219" s="45"/>
      <c r="U219" s="71"/>
      <c r="V219" s="57"/>
      <c r="W219" s="57"/>
      <c r="X219" s="57"/>
      <c r="Y219" s="57"/>
      <c r="Z219" s="57"/>
      <c r="AA219" s="57"/>
      <c r="AB219" s="57"/>
      <c r="AC219" s="57"/>
      <c r="AD219" s="71"/>
      <c r="AE219" s="57"/>
      <c r="AF219" s="57"/>
      <c r="AG219" s="57"/>
      <c r="AH219" s="57"/>
      <c r="AI219" s="57"/>
      <c r="AJ219" s="57"/>
      <c r="AK219" s="57"/>
      <c r="AL219" s="57"/>
      <c r="AM219" s="71"/>
      <c r="AN219" s="57"/>
      <c r="AO219" s="57"/>
      <c r="AP219" s="57"/>
      <c r="AQ219" s="57"/>
      <c r="AR219" s="57"/>
      <c r="AS219" s="57"/>
      <c r="AT219" s="57"/>
      <c r="AU219" s="57"/>
      <c r="AV219" s="71"/>
      <c r="AW219" s="57"/>
      <c r="AX219" s="55"/>
      <c r="AY219" s="55"/>
      <c r="AZ219" s="55"/>
      <c r="BA219" s="55"/>
      <c r="BB219" s="55"/>
      <c r="BC219" s="55"/>
      <c r="BD219" s="57"/>
    </row>
    <row r="220" spans="1:56">
      <c r="A220" s="12" t="str">
        <f>Roster!A220</f>
        <v/>
      </c>
      <c r="B220" s="28">
        <f>Roster!C220</f>
        <v>0</v>
      </c>
      <c r="C220" s="55"/>
      <c r="D220" s="56"/>
      <c r="E220" s="57"/>
      <c r="F220" s="57"/>
      <c r="G220" s="57"/>
      <c r="H220" s="57"/>
      <c r="I220" s="57"/>
      <c r="J220" s="57"/>
      <c r="K220" s="45"/>
      <c r="L220" s="58"/>
      <c r="M220" s="56"/>
      <c r="N220" s="57"/>
      <c r="O220" s="57"/>
      <c r="P220" s="57"/>
      <c r="Q220" s="57"/>
      <c r="R220" s="57"/>
      <c r="S220" s="57"/>
      <c r="T220" s="45"/>
      <c r="U220" s="71"/>
      <c r="V220" s="57"/>
      <c r="W220" s="57"/>
      <c r="X220" s="57"/>
      <c r="Y220" s="57"/>
      <c r="Z220" s="57"/>
      <c r="AA220" s="57"/>
      <c r="AB220" s="57"/>
      <c r="AC220" s="57"/>
      <c r="AD220" s="71"/>
      <c r="AE220" s="57"/>
      <c r="AF220" s="57"/>
      <c r="AG220" s="57"/>
      <c r="AH220" s="57"/>
      <c r="AI220" s="57"/>
      <c r="AJ220" s="57"/>
      <c r="AK220" s="57"/>
      <c r="AL220" s="57"/>
      <c r="AM220" s="71"/>
      <c r="AN220" s="57"/>
      <c r="AO220" s="57"/>
      <c r="AP220" s="57"/>
      <c r="AQ220" s="57"/>
      <c r="AR220" s="57"/>
      <c r="AS220" s="57"/>
      <c r="AT220" s="57"/>
      <c r="AU220" s="57"/>
      <c r="AV220" s="71"/>
      <c r="AW220" s="57"/>
      <c r="AX220" s="55"/>
      <c r="AY220" s="55"/>
      <c r="AZ220" s="55"/>
      <c r="BA220" s="55"/>
      <c r="BB220" s="55"/>
      <c r="BC220" s="55"/>
      <c r="BD220" s="57"/>
    </row>
    <row r="221" spans="1:56">
      <c r="A221" s="12" t="str">
        <f>Roster!A221</f>
        <v/>
      </c>
      <c r="B221" s="28">
        <f>Roster!C221</f>
        <v>0</v>
      </c>
      <c r="C221" s="55"/>
      <c r="D221" s="56"/>
      <c r="E221" s="57"/>
      <c r="F221" s="57"/>
      <c r="G221" s="57"/>
      <c r="H221" s="57"/>
      <c r="I221" s="57"/>
      <c r="J221" s="57"/>
      <c r="K221" s="45"/>
      <c r="L221" s="58"/>
      <c r="M221" s="56"/>
      <c r="N221" s="57"/>
      <c r="O221" s="57"/>
      <c r="P221" s="57"/>
      <c r="Q221" s="57"/>
      <c r="R221" s="57"/>
      <c r="S221" s="57"/>
      <c r="T221" s="45"/>
      <c r="U221" s="71"/>
      <c r="V221" s="57"/>
      <c r="W221" s="57"/>
      <c r="X221" s="57"/>
      <c r="Y221" s="57"/>
      <c r="Z221" s="57"/>
      <c r="AA221" s="57"/>
      <c r="AB221" s="57"/>
      <c r="AC221" s="57"/>
      <c r="AD221" s="71"/>
      <c r="AE221" s="57"/>
      <c r="AF221" s="57"/>
      <c r="AG221" s="57"/>
      <c r="AH221" s="57"/>
      <c r="AI221" s="57"/>
      <c r="AJ221" s="57"/>
      <c r="AK221" s="57"/>
      <c r="AL221" s="57"/>
      <c r="AM221" s="71"/>
      <c r="AN221" s="57"/>
      <c r="AO221" s="57"/>
      <c r="AP221" s="57"/>
      <c r="AQ221" s="57"/>
      <c r="AR221" s="57"/>
      <c r="AS221" s="57"/>
      <c r="AT221" s="57"/>
      <c r="AU221" s="57"/>
      <c r="AV221" s="71"/>
      <c r="AW221" s="57"/>
      <c r="AX221" s="55"/>
      <c r="AY221" s="55"/>
      <c r="AZ221" s="55"/>
      <c r="BA221" s="55"/>
      <c r="BB221" s="55"/>
      <c r="BC221" s="55"/>
      <c r="BD221" s="57"/>
    </row>
    <row r="222" spans="1:56">
      <c r="A222" s="12" t="str">
        <f>Roster!A222</f>
        <v/>
      </c>
      <c r="B222" s="28">
        <f>Roster!C222</f>
        <v>0</v>
      </c>
      <c r="C222" s="55"/>
      <c r="D222" s="56"/>
      <c r="E222" s="57"/>
      <c r="F222" s="57"/>
      <c r="G222" s="57"/>
      <c r="H222" s="57"/>
      <c r="I222" s="57"/>
      <c r="J222" s="57"/>
      <c r="K222" s="45"/>
      <c r="L222" s="58"/>
      <c r="M222" s="56"/>
      <c r="N222" s="57"/>
      <c r="O222" s="57"/>
      <c r="P222" s="57"/>
      <c r="Q222" s="57"/>
      <c r="R222" s="57"/>
      <c r="S222" s="57"/>
      <c r="T222" s="45"/>
      <c r="U222" s="71"/>
      <c r="V222" s="57"/>
      <c r="W222" s="57"/>
      <c r="X222" s="57"/>
      <c r="Y222" s="57"/>
      <c r="Z222" s="57"/>
      <c r="AA222" s="57"/>
      <c r="AB222" s="57"/>
      <c r="AC222" s="57"/>
      <c r="AD222" s="71"/>
      <c r="AE222" s="57"/>
      <c r="AF222" s="57"/>
      <c r="AG222" s="57"/>
      <c r="AH222" s="57"/>
      <c r="AI222" s="57"/>
      <c r="AJ222" s="57"/>
      <c r="AK222" s="57"/>
      <c r="AL222" s="57"/>
      <c r="AM222" s="71"/>
      <c r="AN222" s="57"/>
      <c r="AO222" s="57"/>
      <c r="AP222" s="57"/>
      <c r="AQ222" s="57"/>
      <c r="AR222" s="57"/>
      <c r="AS222" s="57"/>
      <c r="AT222" s="57"/>
      <c r="AU222" s="57"/>
      <c r="AV222" s="71"/>
      <c r="AW222" s="57"/>
      <c r="AX222" s="55"/>
      <c r="AY222" s="55"/>
      <c r="AZ222" s="55"/>
      <c r="BA222" s="55"/>
      <c r="BB222" s="55"/>
      <c r="BC222" s="55"/>
      <c r="BD222" s="57"/>
    </row>
    <row r="223" spans="1:56">
      <c r="A223" s="12" t="str">
        <f>Roster!A223</f>
        <v/>
      </c>
      <c r="B223" s="28">
        <f>Roster!C223</f>
        <v>0</v>
      </c>
      <c r="C223" s="55"/>
      <c r="D223" s="56"/>
      <c r="E223" s="57"/>
      <c r="F223" s="57"/>
      <c r="G223" s="57"/>
      <c r="H223" s="57"/>
      <c r="I223" s="57"/>
      <c r="J223" s="57"/>
      <c r="K223" s="45"/>
      <c r="L223" s="58"/>
      <c r="M223" s="56"/>
      <c r="N223" s="57"/>
      <c r="O223" s="57"/>
      <c r="P223" s="57"/>
      <c r="Q223" s="57"/>
      <c r="R223" s="57"/>
      <c r="S223" s="57"/>
      <c r="T223" s="45"/>
      <c r="U223" s="71"/>
      <c r="V223" s="57"/>
      <c r="W223" s="57"/>
      <c r="X223" s="57"/>
      <c r="Y223" s="57"/>
      <c r="Z223" s="57"/>
      <c r="AA223" s="57"/>
      <c r="AB223" s="57"/>
      <c r="AC223" s="57"/>
      <c r="AD223" s="71"/>
      <c r="AE223" s="57"/>
      <c r="AF223" s="57"/>
      <c r="AG223" s="57"/>
      <c r="AH223" s="57"/>
      <c r="AI223" s="57"/>
      <c r="AJ223" s="57"/>
      <c r="AK223" s="57"/>
      <c r="AL223" s="57"/>
      <c r="AM223" s="71"/>
      <c r="AN223" s="57"/>
      <c r="AO223" s="57"/>
      <c r="AP223" s="57"/>
      <c r="AQ223" s="57"/>
      <c r="AR223" s="57"/>
      <c r="AS223" s="57"/>
      <c r="AT223" s="57"/>
      <c r="AU223" s="57"/>
      <c r="AV223" s="71"/>
      <c r="AW223" s="57"/>
      <c r="AX223" s="55"/>
      <c r="AY223" s="55"/>
      <c r="AZ223" s="55"/>
      <c r="BA223" s="55"/>
      <c r="BB223" s="55"/>
      <c r="BC223" s="55"/>
      <c r="BD223" s="57"/>
    </row>
    <row r="224" spans="1:56">
      <c r="A224" s="12" t="str">
        <f>Roster!A224</f>
        <v/>
      </c>
      <c r="B224" s="28">
        <f>Roster!C224</f>
        <v>0</v>
      </c>
      <c r="C224" s="55"/>
      <c r="D224" s="56"/>
      <c r="E224" s="57"/>
      <c r="F224" s="57"/>
      <c r="G224" s="57"/>
      <c r="H224" s="57"/>
      <c r="I224" s="57"/>
      <c r="J224" s="57"/>
      <c r="K224" s="45"/>
      <c r="L224" s="58"/>
      <c r="M224" s="56"/>
      <c r="N224" s="57"/>
      <c r="O224" s="57"/>
      <c r="P224" s="57"/>
      <c r="Q224" s="57"/>
      <c r="R224" s="57"/>
      <c r="S224" s="57"/>
      <c r="T224" s="45"/>
      <c r="U224" s="71"/>
      <c r="V224" s="57"/>
      <c r="W224" s="57"/>
      <c r="X224" s="57"/>
      <c r="Y224" s="57"/>
      <c r="Z224" s="57"/>
      <c r="AA224" s="57"/>
      <c r="AB224" s="57"/>
      <c r="AC224" s="57"/>
      <c r="AD224" s="71"/>
      <c r="AE224" s="57"/>
      <c r="AF224" s="57"/>
      <c r="AG224" s="57"/>
      <c r="AH224" s="57"/>
      <c r="AI224" s="57"/>
      <c r="AJ224" s="57"/>
      <c r="AK224" s="57"/>
      <c r="AL224" s="57"/>
      <c r="AM224" s="71"/>
      <c r="AN224" s="57"/>
      <c r="AO224" s="57"/>
      <c r="AP224" s="57"/>
      <c r="AQ224" s="57"/>
      <c r="AR224" s="57"/>
      <c r="AS224" s="57"/>
      <c r="AT224" s="57"/>
      <c r="AU224" s="57"/>
      <c r="AV224" s="71"/>
      <c r="AW224" s="57"/>
      <c r="AX224" s="55"/>
      <c r="AY224" s="55"/>
      <c r="AZ224" s="55"/>
      <c r="BA224" s="55"/>
      <c r="BB224" s="55"/>
      <c r="BC224" s="55"/>
      <c r="BD224" s="57"/>
    </row>
    <row r="225" spans="1:56">
      <c r="A225" s="12" t="str">
        <f>Roster!A225</f>
        <v/>
      </c>
      <c r="B225" s="28">
        <f>Roster!C225</f>
        <v>0</v>
      </c>
      <c r="C225" s="55"/>
      <c r="D225" s="56"/>
      <c r="E225" s="57"/>
      <c r="F225" s="57"/>
      <c r="G225" s="57"/>
      <c r="H225" s="57"/>
      <c r="I225" s="57"/>
      <c r="J225" s="57"/>
      <c r="K225" s="45"/>
      <c r="L225" s="58"/>
      <c r="M225" s="56"/>
      <c r="N225" s="57"/>
      <c r="O225" s="57"/>
      <c r="P225" s="57"/>
      <c r="Q225" s="57"/>
      <c r="R225" s="57"/>
      <c r="S225" s="57"/>
      <c r="T225" s="45"/>
      <c r="U225" s="71"/>
      <c r="V225" s="57"/>
      <c r="W225" s="57"/>
      <c r="X225" s="57"/>
      <c r="Y225" s="57"/>
      <c r="Z225" s="57"/>
      <c r="AA225" s="57"/>
      <c r="AB225" s="57"/>
      <c r="AC225" s="57"/>
      <c r="AD225" s="71"/>
      <c r="AE225" s="57"/>
      <c r="AF225" s="57"/>
      <c r="AG225" s="57"/>
      <c r="AH225" s="57"/>
      <c r="AI225" s="57"/>
      <c r="AJ225" s="57"/>
      <c r="AK225" s="57"/>
      <c r="AL225" s="57"/>
      <c r="AM225" s="71"/>
      <c r="AN225" s="57"/>
      <c r="AO225" s="57"/>
      <c r="AP225" s="57"/>
      <c r="AQ225" s="57"/>
      <c r="AR225" s="57"/>
      <c r="AS225" s="57"/>
      <c r="AT225" s="57"/>
      <c r="AU225" s="57"/>
      <c r="AV225" s="71"/>
      <c r="AW225" s="57"/>
      <c r="AX225" s="55"/>
      <c r="AY225" s="55"/>
      <c r="AZ225" s="55"/>
      <c r="BA225" s="55"/>
      <c r="BB225" s="55"/>
      <c r="BC225" s="55"/>
      <c r="BD225" s="57"/>
    </row>
    <row r="226" spans="1:56">
      <c r="A226" s="12" t="str">
        <f>Roster!A226</f>
        <v/>
      </c>
      <c r="B226" s="28">
        <f>Roster!C226</f>
        <v>0</v>
      </c>
      <c r="C226" s="55"/>
      <c r="D226" s="56"/>
      <c r="E226" s="57"/>
      <c r="F226" s="57"/>
      <c r="G226" s="57"/>
      <c r="H226" s="57"/>
      <c r="I226" s="57"/>
      <c r="J226" s="57"/>
      <c r="K226" s="45"/>
      <c r="L226" s="58"/>
      <c r="M226" s="56"/>
      <c r="N226" s="57"/>
      <c r="O226" s="57"/>
      <c r="P226" s="57"/>
      <c r="Q226" s="57"/>
      <c r="R226" s="57"/>
      <c r="S226" s="57"/>
      <c r="T226" s="45"/>
      <c r="U226" s="71"/>
      <c r="V226" s="57"/>
      <c r="W226" s="57"/>
      <c r="X226" s="57"/>
      <c r="Y226" s="57"/>
      <c r="Z226" s="57"/>
      <c r="AA226" s="57"/>
      <c r="AB226" s="57"/>
      <c r="AC226" s="57"/>
      <c r="AD226" s="71"/>
      <c r="AE226" s="57"/>
      <c r="AF226" s="57"/>
      <c r="AG226" s="57"/>
      <c r="AH226" s="57"/>
      <c r="AI226" s="57"/>
      <c r="AJ226" s="57"/>
      <c r="AK226" s="57"/>
      <c r="AL226" s="57"/>
      <c r="AM226" s="71"/>
      <c r="AN226" s="57"/>
      <c r="AO226" s="57"/>
      <c r="AP226" s="57"/>
      <c r="AQ226" s="57"/>
      <c r="AR226" s="57"/>
      <c r="AS226" s="57"/>
      <c r="AT226" s="57"/>
      <c r="AU226" s="57"/>
      <c r="AV226" s="71"/>
      <c r="AW226" s="57"/>
      <c r="AX226" s="55"/>
      <c r="AY226" s="55"/>
      <c r="AZ226" s="55"/>
      <c r="BA226" s="55"/>
      <c r="BB226" s="55"/>
      <c r="BC226" s="55"/>
      <c r="BD226" s="57"/>
    </row>
    <row r="227" spans="1:56">
      <c r="A227" s="12" t="str">
        <f>Roster!A227</f>
        <v/>
      </c>
      <c r="B227" s="28">
        <f>Roster!C227</f>
        <v>0</v>
      </c>
      <c r="C227" s="55"/>
      <c r="D227" s="56"/>
      <c r="E227" s="57"/>
      <c r="F227" s="57"/>
      <c r="G227" s="57"/>
      <c r="H227" s="57"/>
      <c r="I227" s="57"/>
      <c r="J227" s="57"/>
      <c r="K227" s="45"/>
      <c r="L227" s="58"/>
      <c r="M227" s="56"/>
      <c r="N227" s="57"/>
      <c r="O227" s="57"/>
      <c r="P227" s="57"/>
      <c r="Q227" s="57"/>
      <c r="R227" s="57"/>
      <c r="S227" s="57"/>
      <c r="T227" s="45"/>
      <c r="U227" s="71"/>
      <c r="V227" s="57"/>
      <c r="W227" s="57"/>
      <c r="X227" s="57"/>
      <c r="Y227" s="57"/>
      <c r="Z227" s="57"/>
      <c r="AA227" s="57"/>
      <c r="AB227" s="57"/>
      <c r="AC227" s="57"/>
      <c r="AD227" s="71"/>
      <c r="AE227" s="57"/>
      <c r="AF227" s="57"/>
      <c r="AG227" s="57"/>
      <c r="AH227" s="57"/>
      <c r="AI227" s="57"/>
      <c r="AJ227" s="57"/>
      <c r="AK227" s="57"/>
      <c r="AL227" s="57"/>
      <c r="AM227" s="71"/>
      <c r="AN227" s="57"/>
      <c r="AO227" s="57"/>
      <c r="AP227" s="57"/>
      <c r="AQ227" s="57"/>
      <c r="AR227" s="57"/>
      <c r="AS227" s="57"/>
      <c r="AT227" s="57"/>
      <c r="AU227" s="57"/>
      <c r="AV227" s="71"/>
      <c r="AW227" s="57"/>
      <c r="AX227" s="55"/>
      <c r="AY227" s="55"/>
      <c r="AZ227" s="55"/>
      <c r="BA227" s="55"/>
      <c r="BB227" s="55"/>
      <c r="BC227" s="55"/>
      <c r="BD227" s="57"/>
    </row>
    <row r="228" spans="1:56">
      <c r="A228" s="12" t="str">
        <f>Roster!A228</f>
        <v/>
      </c>
      <c r="B228" s="28">
        <f>Roster!C228</f>
        <v>0</v>
      </c>
      <c r="C228" s="55"/>
      <c r="D228" s="56"/>
      <c r="E228" s="57"/>
      <c r="F228" s="57"/>
      <c r="G228" s="57"/>
      <c r="H228" s="57"/>
      <c r="I228" s="57"/>
      <c r="J228" s="57"/>
      <c r="K228" s="45"/>
      <c r="L228" s="58"/>
      <c r="M228" s="56"/>
      <c r="N228" s="57"/>
      <c r="O228" s="57"/>
      <c r="P228" s="57"/>
      <c r="Q228" s="57"/>
      <c r="R228" s="57"/>
      <c r="S228" s="57"/>
      <c r="T228" s="45"/>
      <c r="U228" s="71"/>
      <c r="V228" s="57"/>
      <c r="W228" s="57"/>
      <c r="X228" s="57"/>
      <c r="Y228" s="57"/>
      <c r="Z228" s="57"/>
      <c r="AA228" s="57"/>
      <c r="AB228" s="57"/>
      <c r="AC228" s="57"/>
      <c r="AD228" s="71"/>
      <c r="AE228" s="57"/>
      <c r="AF228" s="57"/>
      <c r="AG228" s="57"/>
      <c r="AH228" s="57"/>
      <c r="AI228" s="57"/>
      <c r="AJ228" s="57"/>
      <c r="AK228" s="57"/>
      <c r="AL228" s="57"/>
      <c r="AM228" s="71"/>
      <c r="AN228" s="57"/>
      <c r="AO228" s="57"/>
      <c r="AP228" s="57"/>
      <c r="AQ228" s="57"/>
      <c r="AR228" s="57"/>
      <c r="AS228" s="57"/>
      <c r="AT228" s="57"/>
      <c r="AU228" s="57"/>
      <c r="AV228" s="71"/>
      <c r="AW228" s="57"/>
      <c r="AX228" s="55"/>
      <c r="AY228" s="55"/>
      <c r="AZ228" s="55"/>
      <c r="BA228" s="55"/>
      <c r="BB228" s="55"/>
      <c r="BC228" s="55"/>
      <c r="BD228" s="57"/>
    </row>
    <row r="229" spans="1:56">
      <c r="A229" s="12" t="str">
        <f>Roster!A229</f>
        <v/>
      </c>
      <c r="B229" s="28">
        <f>Roster!C229</f>
        <v>0</v>
      </c>
      <c r="C229" s="55"/>
      <c r="D229" s="56"/>
      <c r="E229" s="57"/>
      <c r="F229" s="57"/>
      <c r="G229" s="57"/>
      <c r="H229" s="57"/>
      <c r="I229" s="57"/>
      <c r="J229" s="57"/>
      <c r="K229" s="45"/>
      <c r="L229" s="58"/>
      <c r="M229" s="56"/>
      <c r="N229" s="57"/>
      <c r="O229" s="57"/>
      <c r="P229" s="57"/>
      <c r="Q229" s="57"/>
      <c r="R229" s="57"/>
      <c r="S229" s="57"/>
      <c r="T229" s="45"/>
      <c r="U229" s="71"/>
      <c r="V229" s="57"/>
      <c r="W229" s="57"/>
      <c r="X229" s="57"/>
      <c r="Y229" s="57"/>
      <c r="Z229" s="57"/>
      <c r="AA229" s="57"/>
      <c r="AB229" s="57"/>
      <c r="AC229" s="57"/>
      <c r="AD229" s="71"/>
      <c r="AE229" s="57"/>
      <c r="AF229" s="57"/>
      <c r="AG229" s="57"/>
      <c r="AH229" s="57"/>
      <c r="AI229" s="57"/>
      <c r="AJ229" s="57"/>
      <c r="AK229" s="57"/>
      <c r="AL229" s="57"/>
      <c r="AM229" s="71"/>
      <c r="AN229" s="57"/>
      <c r="AO229" s="57"/>
      <c r="AP229" s="57"/>
      <c r="AQ229" s="57"/>
      <c r="AR229" s="57"/>
      <c r="AS229" s="57"/>
      <c r="AT229" s="57"/>
      <c r="AU229" s="57"/>
      <c r="AV229" s="71"/>
      <c r="AW229" s="57"/>
      <c r="AX229" s="55"/>
      <c r="AY229" s="55"/>
      <c r="AZ229" s="55"/>
      <c r="BA229" s="55"/>
      <c r="BB229" s="55"/>
      <c r="BC229" s="55"/>
      <c r="BD229" s="57"/>
    </row>
    <row r="230" spans="1:56">
      <c r="A230" s="12" t="str">
        <f>Roster!A230</f>
        <v/>
      </c>
      <c r="B230" s="28">
        <f>Roster!C230</f>
        <v>0</v>
      </c>
      <c r="C230" s="55"/>
      <c r="D230" s="56"/>
      <c r="E230" s="57"/>
      <c r="F230" s="57"/>
      <c r="G230" s="57"/>
      <c r="H230" s="57"/>
      <c r="I230" s="57"/>
      <c r="J230" s="57"/>
      <c r="K230" s="45"/>
      <c r="L230" s="58"/>
      <c r="M230" s="56"/>
      <c r="N230" s="57"/>
      <c r="O230" s="57"/>
      <c r="P230" s="57"/>
      <c r="Q230" s="57"/>
      <c r="R230" s="57"/>
      <c r="S230" s="57"/>
      <c r="T230" s="45"/>
      <c r="U230" s="71"/>
      <c r="V230" s="57"/>
      <c r="W230" s="57"/>
      <c r="X230" s="57"/>
      <c r="Y230" s="57"/>
      <c r="Z230" s="57"/>
      <c r="AA230" s="57"/>
      <c r="AB230" s="57"/>
      <c r="AC230" s="57"/>
      <c r="AD230" s="71"/>
      <c r="AE230" s="57"/>
      <c r="AF230" s="57"/>
      <c r="AG230" s="57"/>
      <c r="AH230" s="57"/>
      <c r="AI230" s="57"/>
      <c r="AJ230" s="57"/>
      <c r="AK230" s="57"/>
      <c r="AL230" s="57"/>
      <c r="AM230" s="71"/>
      <c r="AN230" s="57"/>
      <c r="AO230" s="57"/>
      <c r="AP230" s="57"/>
      <c r="AQ230" s="57"/>
      <c r="AR230" s="57"/>
      <c r="AS230" s="57"/>
      <c r="AT230" s="57"/>
      <c r="AU230" s="57"/>
      <c r="AV230" s="71"/>
      <c r="AW230" s="57"/>
      <c r="AX230" s="55"/>
      <c r="AY230" s="55"/>
      <c r="AZ230" s="55"/>
      <c r="BA230" s="55"/>
      <c r="BB230" s="55"/>
      <c r="BC230" s="55"/>
      <c r="BD230" s="57"/>
    </row>
    <row r="231" spans="1:56">
      <c r="A231" s="12" t="str">
        <f>Roster!A231</f>
        <v/>
      </c>
      <c r="B231" s="28">
        <f>Roster!C231</f>
        <v>0</v>
      </c>
      <c r="C231" s="55"/>
      <c r="D231" s="56"/>
      <c r="E231" s="57"/>
      <c r="F231" s="57"/>
      <c r="G231" s="57"/>
      <c r="H231" s="57"/>
      <c r="I231" s="57"/>
      <c r="J231" s="57"/>
      <c r="K231" s="45"/>
      <c r="L231" s="58"/>
      <c r="M231" s="56"/>
      <c r="N231" s="57"/>
      <c r="O231" s="57"/>
      <c r="P231" s="57"/>
      <c r="Q231" s="57"/>
      <c r="R231" s="57"/>
      <c r="S231" s="57"/>
      <c r="T231" s="45"/>
      <c r="U231" s="71"/>
      <c r="V231" s="57"/>
      <c r="W231" s="57"/>
      <c r="X231" s="57"/>
      <c r="Y231" s="57"/>
      <c r="Z231" s="57"/>
      <c r="AA231" s="57"/>
      <c r="AB231" s="57"/>
      <c r="AC231" s="57"/>
      <c r="AD231" s="71"/>
      <c r="AE231" s="57"/>
      <c r="AF231" s="57"/>
      <c r="AG231" s="57"/>
      <c r="AH231" s="57"/>
      <c r="AI231" s="57"/>
      <c r="AJ231" s="57"/>
      <c r="AK231" s="57"/>
      <c r="AL231" s="57"/>
      <c r="AM231" s="71"/>
      <c r="AN231" s="57"/>
      <c r="AO231" s="57"/>
      <c r="AP231" s="57"/>
      <c r="AQ231" s="57"/>
      <c r="AR231" s="57"/>
      <c r="AS231" s="57"/>
      <c r="AT231" s="57"/>
      <c r="AU231" s="57"/>
      <c r="AV231" s="71"/>
      <c r="AW231" s="57"/>
      <c r="AX231" s="55"/>
      <c r="AY231" s="55"/>
      <c r="AZ231" s="55"/>
      <c r="BA231" s="55"/>
      <c r="BB231" s="55"/>
      <c r="BC231" s="55"/>
      <c r="BD231" s="57"/>
    </row>
    <row r="232" spans="1:56">
      <c r="A232" s="12" t="str">
        <f>Roster!A232</f>
        <v/>
      </c>
      <c r="B232" s="28">
        <f>Roster!C232</f>
        <v>0</v>
      </c>
      <c r="C232" s="55"/>
      <c r="D232" s="56"/>
      <c r="E232" s="57"/>
      <c r="F232" s="57"/>
      <c r="G232" s="57"/>
      <c r="H232" s="57"/>
      <c r="I232" s="57"/>
      <c r="J232" s="57"/>
      <c r="K232" s="45"/>
      <c r="L232" s="58"/>
      <c r="M232" s="56"/>
      <c r="N232" s="57"/>
      <c r="O232" s="57"/>
      <c r="P232" s="57"/>
      <c r="Q232" s="57"/>
      <c r="R232" s="57"/>
      <c r="S232" s="57"/>
      <c r="T232" s="45"/>
      <c r="U232" s="71"/>
      <c r="V232" s="57"/>
      <c r="W232" s="57"/>
      <c r="X232" s="57"/>
      <c r="Y232" s="57"/>
      <c r="Z232" s="57"/>
      <c r="AA232" s="57"/>
      <c r="AB232" s="57"/>
      <c r="AC232" s="57"/>
      <c r="AD232" s="71"/>
      <c r="AE232" s="57"/>
      <c r="AF232" s="57"/>
      <c r="AG232" s="57"/>
      <c r="AH232" s="57"/>
      <c r="AI232" s="57"/>
      <c r="AJ232" s="57"/>
      <c r="AK232" s="57"/>
      <c r="AL232" s="57"/>
      <c r="AM232" s="71"/>
      <c r="AN232" s="57"/>
      <c r="AO232" s="57"/>
      <c r="AP232" s="57"/>
      <c r="AQ232" s="57"/>
      <c r="AR232" s="57"/>
      <c r="AS232" s="57"/>
      <c r="AT232" s="57"/>
      <c r="AU232" s="57"/>
      <c r="AV232" s="71"/>
      <c r="AW232" s="57"/>
      <c r="AX232" s="55"/>
      <c r="AY232" s="55"/>
      <c r="AZ232" s="55"/>
      <c r="BA232" s="55"/>
      <c r="BB232" s="55"/>
      <c r="BC232" s="55"/>
      <c r="BD232" s="57"/>
    </row>
    <row r="233" spans="1:56">
      <c r="A233" s="12" t="str">
        <f>Roster!A233</f>
        <v/>
      </c>
      <c r="B233" s="28">
        <f>Roster!C233</f>
        <v>0</v>
      </c>
      <c r="C233" s="55"/>
      <c r="D233" s="56"/>
      <c r="E233" s="57"/>
      <c r="F233" s="57"/>
      <c r="G233" s="57"/>
      <c r="H233" s="57"/>
      <c r="I233" s="57"/>
      <c r="J233" s="57"/>
      <c r="K233" s="45"/>
      <c r="L233" s="58"/>
      <c r="M233" s="56"/>
      <c r="N233" s="57"/>
      <c r="O233" s="57"/>
      <c r="P233" s="57"/>
      <c r="Q233" s="57"/>
      <c r="R233" s="57"/>
      <c r="S233" s="57"/>
      <c r="T233" s="45"/>
      <c r="U233" s="71"/>
      <c r="V233" s="57"/>
      <c r="W233" s="57"/>
      <c r="X233" s="57"/>
      <c r="Y233" s="57"/>
      <c r="Z233" s="57"/>
      <c r="AA233" s="57"/>
      <c r="AB233" s="57"/>
      <c r="AC233" s="57"/>
      <c r="AD233" s="71"/>
      <c r="AE233" s="57"/>
      <c r="AF233" s="57"/>
      <c r="AG233" s="57"/>
      <c r="AH233" s="57"/>
      <c r="AI233" s="57"/>
      <c r="AJ233" s="57"/>
      <c r="AK233" s="57"/>
      <c r="AL233" s="57"/>
      <c r="AM233" s="71"/>
      <c r="AN233" s="57"/>
      <c r="AO233" s="57"/>
      <c r="AP233" s="57"/>
      <c r="AQ233" s="57"/>
      <c r="AR233" s="57"/>
      <c r="AS233" s="57"/>
      <c r="AT233" s="57"/>
      <c r="AU233" s="57"/>
      <c r="AV233" s="71"/>
      <c r="AW233" s="57"/>
      <c r="AX233" s="55"/>
      <c r="AY233" s="55"/>
      <c r="AZ233" s="55"/>
      <c r="BA233" s="55"/>
      <c r="BB233" s="55"/>
      <c r="BC233" s="55"/>
      <c r="BD233" s="57"/>
    </row>
    <row r="234" spans="1:56">
      <c r="A234" s="12" t="str">
        <f>Roster!A234</f>
        <v/>
      </c>
      <c r="B234" s="28">
        <f>Roster!C234</f>
        <v>0</v>
      </c>
      <c r="C234" s="55"/>
      <c r="D234" s="56"/>
      <c r="E234" s="57"/>
      <c r="F234" s="57"/>
      <c r="G234" s="57"/>
      <c r="H234" s="57"/>
      <c r="I234" s="57"/>
      <c r="J234" s="57"/>
      <c r="K234" s="45"/>
      <c r="L234" s="58"/>
      <c r="M234" s="56"/>
      <c r="N234" s="57"/>
      <c r="O234" s="57"/>
      <c r="P234" s="57"/>
      <c r="Q234" s="57"/>
      <c r="R234" s="57"/>
      <c r="S234" s="57"/>
      <c r="T234" s="45"/>
      <c r="U234" s="71"/>
      <c r="V234" s="57"/>
      <c r="W234" s="57"/>
      <c r="X234" s="57"/>
      <c r="Y234" s="57"/>
      <c r="Z234" s="57"/>
      <c r="AA234" s="57"/>
      <c r="AB234" s="57"/>
      <c r="AC234" s="57"/>
      <c r="AD234" s="71"/>
      <c r="AE234" s="57"/>
      <c r="AF234" s="57"/>
      <c r="AG234" s="57"/>
      <c r="AH234" s="57"/>
      <c r="AI234" s="57"/>
      <c r="AJ234" s="57"/>
      <c r="AK234" s="57"/>
      <c r="AL234" s="57"/>
      <c r="AM234" s="71"/>
      <c r="AN234" s="57"/>
      <c r="AO234" s="57"/>
      <c r="AP234" s="57"/>
      <c r="AQ234" s="57"/>
      <c r="AR234" s="57"/>
      <c r="AS234" s="57"/>
      <c r="AT234" s="57"/>
      <c r="AU234" s="57"/>
      <c r="AV234" s="71"/>
      <c r="AW234" s="57"/>
      <c r="AX234" s="55"/>
      <c r="AY234" s="55"/>
      <c r="AZ234" s="55"/>
      <c r="BA234" s="55"/>
      <c r="BB234" s="55"/>
      <c r="BC234" s="55"/>
      <c r="BD234" s="57"/>
    </row>
    <row r="235" spans="1:56">
      <c r="A235" s="12" t="str">
        <f>Roster!A235</f>
        <v/>
      </c>
      <c r="B235" s="28">
        <f>Roster!C235</f>
        <v>0</v>
      </c>
      <c r="C235" s="55"/>
      <c r="D235" s="56"/>
      <c r="E235" s="57"/>
      <c r="F235" s="57"/>
      <c r="G235" s="57"/>
      <c r="H235" s="57"/>
      <c r="I235" s="57"/>
      <c r="J235" s="57"/>
      <c r="K235" s="45"/>
      <c r="L235" s="58"/>
      <c r="M235" s="56"/>
      <c r="N235" s="57"/>
      <c r="O235" s="57"/>
      <c r="P235" s="57"/>
      <c r="Q235" s="57"/>
      <c r="R235" s="57"/>
      <c r="S235" s="57"/>
      <c r="T235" s="45"/>
      <c r="U235" s="71"/>
      <c r="V235" s="57"/>
      <c r="W235" s="57"/>
      <c r="X235" s="57"/>
      <c r="Y235" s="57"/>
      <c r="Z235" s="57"/>
      <c r="AA235" s="57"/>
      <c r="AB235" s="57"/>
      <c r="AC235" s="57"/>
      <c r="AD235" s="71"/>
      <c r="AE235" s="57"/>
      <c r="AF235" s="57"/>
      <c r="AG235" s="57"/>
      <c r="AH235" s="57"/>
      <c r="AI235" s="57"/>
      <c r="AJ235" s="57"/>
      <c r="AK235" s="57"/>
      <c r="AL235" s="57"/>
      <c r="AM235" s="71"/>
      <c r="AN235" s="57"/>
      <c r="AO235" s="57"/>
      <c r="AP235" s="57"/>
      <c r="AQ235" s="57"/>
      <c r="AR235" s="57"/>
      <c r="AS235" s="57"/>
      <c r="AT235" s="57"/>
      <c r="AU235" s="57"/>
      <c r="AV235" s="71"/>
      <c r="AW235" s="57"/>
      <c r="AX235" s="55"/>
      <c r="AY235" s="55"/>
      <c r="AZ235" s="55"/>
      <c r="BA235" s="55"/>
      <c r="BB235" s="55"/>
      <c r="BC235" s="55"/>
      <c r="BD235" s="57"/>
    </row>
    <row r="236" spans="1:56">
      <c r="A236" s="12" t="str">
        <f>Roster!A236</f>
        <v/>
      </c>
      <c r="B236" s="28">
        <f>Roster!C236</f>
        <v>0</v>
      </c>
      <c r="C236" s="55"/>
      <c r="D236" s="56"/>
      <c r="E236" s="57"/>
      <c r="F236" s="57"/>
      <c r="G236" s="57"/>
      <c r="H236" s="57"/>
      <c r="I236" s="57"/>
      <c r="J236" s="57"/>
      <c r="K236" s="45"/>
      <c r="L236" s="58"/>
      <c r="M236" s="56"/>
      <c r="N236" s="57"/>
      <c r="O236" s="57"/>
      <c r="P236" s="57"/>
      <c r="Q236" s="57"/>
      <c r="R236" s="57"/>
      <c r="S236" s="57"/>
      <c r="T236" s="45"/>
      <c r="U236" s="71"/>
      <c r="V236" s="57"/>
      <c r="W236" s="57"/>
      <c r="X236" s="57"/>
      <c r="Y236" s="57"/>
      <c r="Z236" s="57"/>
      <c r="AA236" s="57"/>
      <c r="AB236" s="57"/>
      <c r="AC236" s="57"/>
      <c r="AD236" s="71"/>
      <c r="AE236" s="57"/>
      <c r="AF236" s="57"/>
      <c r="AG236" s="57"/>
      <c r="AH236" s="57"/>
      <c r="AI236" s="57"/>
      <c r="AJ236" s="57"/>
      <c r="AK236" s="57"/>
      <c r="AL236" s="57"/>
      <c r="AM236" s="71"/>
      <c r="AN236" s="57"/>
      <c r="AO236" s="57"/>
      <c r="AP236" s="57"/>
      <c r="AQ236" s="57"/>
      <c r="AR236" s="57"/>
      <c r="AS236" s="57"/>
      <c r="AT236" s="57"/>
      <c r="AU236" s="57"/>
      <c r="AV236" s="71"/>
      <c r="AW236" s="57"/>
      <c r="AX236" s="55"/>
      <c r="AY236" s="55"/>
      <c r="AZ236" s="55"/>
      <c r="BA236" s="55"/>
      <c r="BB236" s="55"/>
      <c r="BC236" s="55"/>
      <c r="BD236" s="57"/>
    </row>
    <row r="237" spans="1:56">
      <c r="A237" s="12" t="str">
        <f>Roster!A237</f>
        <v/>
      </c>
      <c r="B237" s="28">
        <f>Roster!C237</f>
        <v>0</v>
      </c>
      <c r="C237" s="55"/>
      <c r="D237" s="56"/>
      <c r="E237" s="57"/>
      <c r="F237" s="57"/>
      <c r="G237" s="57"/>
      <c r="H237" s="57"/>
      <c r="I237" s="57"/>
      <c r="J237" s="57"/>
      <c r="K237" s="45"/>
      <c r="L237" s="58"/>
      <c r="M237" s="56"/>
      <c r="N237" s="57"/>
      <c r="O237" s="57"/>
      <c r="P237" s="57"/>
      <c r="Q237" s="57"/>
      <c r="R237" s="57"/>
      <c r="S237" s="57"/>
      <c r="T237" s="45"/>
      <c r="U237" s="71"/>
      <c r="V237" s="57"/>
      <c r="W237" s="57"/>
      <c r="X237" s="57"/>
      <c r="Y237" s="57"/>
      <c r="Z237" s="57"/>
      <c r="AA237" s="57"/>
      <c r="AB237" s="57"/>
      <c r="AC237" s="57"/>
      <c r="AD237" s="71"/>
      <c r="AE237" s="57"/>
      <c r="AF237" s="57"/>
      <c r="AG237" s="57"/>
      <c r="AH237" s="57"/>
      <c r="AI237" s="57"/>
      <c r="AJ237" s="57"/>
      <c r="AK237" s="57"/>
      <c r="AL237" s="57"/>
      <c r="AM237" s="71"/>
      <c r="AN237" s="57"/>
      <c r="AO237" s="57"/>
      <c r="AP237" s="57"/>
      <c r="AQ237" s="57"/>
      <c r="AR237" s="57"/>
      <c r="AS237" s="57"/>
      <c r="AT237" s="57"/>
      <c r="AU237" s="57"/>
      <c r="AV237" s="71"/>
      <c r="AW237" s="57"/>
      <c r="AX237" s="55"/>
      <c r="AY237" s="55"/>
      <c r="AZ237" s="55"/>
      <c r="BA237" s="55"/>
      <c r="BB237" s="55"/>
      <c r="BC237" s="55"/>
      <c r="BD237" s="57"/>
    </row>
    <row r="238" spans="1:56">
      <c r="A238" s="12" t="str">
        <f>Roster!A238</f>
        <v/>
      </c>
      <c r="B238" s="28">
        <f>Roster!C238</f>
        <v>0</v>
      </c>
      <c r="C238" s="55"/>
      <c r="D238" s="56"/>
      <c r="E238" s="57"/>
      <c r="F238" s="57"/>
      <c r="G238" s="57"/>
      <c r="H238" s="57"/>
      <c r="I238" s="57"/>
      <c r="J238" s="57"/>
      <c r="K238" s="45"/>
      <c r="L238" s="58"/>
      <c r="M238" s="56"/>
      <c r="N238" s="57"/>
      <c r="O238" s="57"/>
      <c r="P238" s="57"/>
      <c r="Q238" s="57"/>
      <c r="R238" s="57"/>
      <c r="S238" s="57"/>
      <c r="T238" s="45"/>
      <c r="U238" s="71"/>
      <c r="V238" s="57"/>
      <c r="W238" s="57"/>
      <c r="X238" s="57"/>
      <c r="Y238" s="57"/>
      <c r="Z238" s="57"/>
      <c r="AA238" s="57"/>
      <c r="AB238" s="57"/>
      <c r="AC238" s="57"/>
      <c r="AD238" s="71"/>
      <c r="AE238" s="57"/>
      <c r="AF238" s="57"/>
      <c r="AG238" s="57"/>
      <c r="AH238" s="57"/>
      <c r="AI238" s="57"/>
      <c r="AJ238" s="57"/>
      <c r="AK238" s="57"/>
      <c r="AL238" s="57"/>
      <c r="AM238" s="71"/>
      <c r="AN238" s="57"/>
      <c r="AO238" s="57"/>
      <c r="AP238" s="57"/>
      <c r="AQ238" s="57"/>
      <c r="AR238" s="57"/>
      <c r="AS238" s="57"/>
      <c r="AT238" s="57"/>
      <c r="AU238" s="57"/>
      <c r="AV238" s="71"/>
      <c r="AW238" s="57"/>
      <c r="AX238" s="55"/>
      <c r="AY238" s="55"/>
      <c r="AZ238" s="55"/>
      <c r="BA238" s="55"/>
      <c r="BB238" s="55"/>
      <c r="BC238" s="55"/>
      <c r="BD238" s="57"/>
    </row>
    <row r="239" spans="1:56">
      <c r="A239" s="12" t="str">
        <f>Roster!A239</f>
        <v/>
      </c>
      <c r="B239" s="28">
        <f>Roster!C239</f>
        <v>0</v>
      </c>
      <c r="C239" s="55"/>
      <c r="D239" s="56"/>
      <c r="E239" s="57"/>
      <c r="F239" s="57"/>
      <c r="G239" s="57"/>
      <c r="H239" s="57"/>
      <c r="I239" s="57"/>
      <c r="J239" s="57"/>
      <c r="K239" s="45"/>
      <c r="L239" s="58"/>
      <c r="M239" s="56"/>
      <c r="N239" s="57"/>
      <c r="O239" s="57"/>
      <c r="P239" s="57"/>
      <c r="Q239" s="57"/>
      <c r="R239" s="57"/>
      <c r="S239" s="57"/>
      <c r="T239" s="45"/>
      <c r="U239" s="71"/>
      <c r="V239" s="57"/>
      <c r="W239" s="57"/>
      <c r="X239" s="57"/>
      <c r="Y239" s="57"/>
      <c r="Z239" s="57"/>
      <c r="AA239" s="57"/>
      <c r="AB239" s="57"/>
      <c r="AC239" s="57"/>
      <c r="AD239" s="71"/>
      <c r="AE239" s="57"/>
      <c r="AF239" s="57"/>
      <c r="AG239" s="57"/>
      <c r="AH239" s="57"/>
      <c r="AI239" s="57"/>
      <c r="AJ239" s="57"/>
      <c r="AK239" s="57"/>
      <c r="AL239" s="57"/>
      <c r="AM239" s="71"/>
      <c r="AN239" s="57"/>
      <c r="AO239" s="57"/>
      <c r="AP239" s="57"/>
      <c r="AQ239" s="57"/>
      <c r="AR239" s="57"/>
      <c r="AS239" s="57"/>
      <c r="AT239" s="57"/>
      <c r="AU239" s="57"/>
      <c r="AV239" s="71"/>
      <c r="AW239" s="57"/>
      <c r="AX239" s="55"/>
      <c r="AY239" s="55"/>
      <c r="AZ239" s="55"/>
      <c r="BA239" s="55"/>
      <c r="BB239" s="55"/>
      <c r="BC239" s="55"/>
      <c r="BD239" s="57"/>
    </row>
    <row r="240" spans="1:56">
      <c r="A240" s="12" t="str">
        <f>Roster!A240</f>
        <v/>
      </c>
      <c r="B240" s="28">
        <f>Roster!C240</f>
        <v>0</v>
      </c>
      <c r="C240" s="55"/>
      <c r="D240" s="56"/>
      <c r="E240" s="57"/>
      <c r="F240" s="57"/>
      <c r="G240" s="57"/>
      <c r="H240" s="57"/>
      <c r="I240" s="57"/>
      <c r="J240" s="57"/>
      <c r="K240" s="45"/>
      <c r="L240" s="58"/>
      <c r="M240" s="56"/>
      <c r="N240" s="57"/>
      <c r="O240" s="57"/>
      <c r="P240" s="57"/>
      <c r="Q240" s="57"/>
      <c r="R240" s="57"/>
      <c r="S240" s="57"/>
      <c r="T240" s="45"/>
      <c r="U240" s="71"/>
      <c r="V240" s="57"/>
      <c r="W240" s="57"/>
      <c r="X240" s="57"/>
      <c r="Y240" s="57"/>
      <c r="Z240" s="57"/>
      <c r="AA240" s="57"/>
      <c r="AB240" s="57"/>
      <c r="AC240" s="57"/>
      <c r="AD240" s="71"/>
      <c r="AE240" s="57"/>
      <c r="AF240" s="57"/>
      <c r="AG240" s="57"/>
      <c r="AH240" s="57"/>
      <c r="AI240" s="57"/>
      <c r="AJ240" s="57"/>
      <c r="AK240" s="57"/>
      <c r="AL240" s="57"/>
      <c r="AM240" s="71"/>
      <c r="AN240" s="57"/>
      <c r="AO240" s="57"/>
      <c r="AP240" s="57"/>
      <c r="AQ240" s="57"/>
      <c r="AR240" s="57"/>
      <c r="AS240" s="57"/>
      <c r="AT240" s="57"/>
      <c r="AU240" s="57"/>
      <c r="AV240" s="71"/>
      <c r="AW240" s="57"/>
      <c r="AX240" s="55"/>
      <c r="AY240" s="55"/>
      <c r="AZ240" s="55"/>
      <c r="BA240" s="55"/>
      <c r="BB240" s="55"/>
      <c r="BC240" s="55"/>
      <c r="BD240" s="57"/>
    </row>
    <row r="241" spans="1:56">
      <c r="A241" s="12" t="str">
        <f>Roster!A241</f>
        <v/>
      </c>
      <c r="B241" s="28">
        <f>Roster!C241</f>
        <v>0</v>
      </c>
      <c r="C241" s="55"/>
      <c r="D241" s="56"/>
      <c r="E241" s="57"/>
      <c r="F241" s="57"/>
      <c r="G241" s="57"/>
      <c r="H241" s="57"/>
      <c r="I241" s="57"/>
      <c r="J241" s="57"/>
      <c r="K241" s="45"/>
      <c r="L241" s="58"/>
      <c r="M241" s="56"/>
      <c r="N241" s="57"/>
      <c r="O241" s="57"/>
      <c r="P241" s="57"/>
      <c r="Q241" s="57"/>
      <c r="R241" s="57"/>
      <c r="S241" s="57"/>
      <c r="T241" s="45"/>
      <c r="U241" s="71"/>
      <c r="V241" s="57"/>
      <c r="W241" s="57"/>
      <c r="X241" s="57"/>
      <c r="Y241" s="57"/>
      <c r="Z241" s="57"/>
      <c r="AA241" s="57"/>
      <c r="AB241" s="57"/>
      <c r="AC241" s="57"/>
      <c r="AD241" s="71"/>
      <c r="AE241" s="57"/>
      <c r="AF241" s="57"/>
      <c r="AG241" s="57"/>
      <c r="AH241" s="57"/>
      <c r="AI241" s="57"/>
      <c r="AJ241" s="57"/>
      <c r="AK241" s="57"/>
      <c r="AL241" s="57"/>
      <c r="AM241" s="71"/>
      <c r="AN241" s="57"/>
      <c r="AO241" s="57"/>
      <c r="AP241" s="57"/>
      <c r="AQ241" s="57"/>
      <c r="AR241" s="57"/>
      <c r="AS241" s="57"/>
      <c r="AT241" s="57"/>
      <c r="AU241" s="57"/>
      <c r="AV241" s="71"/>
      <c r="AW241" s="57"/>
      <c r="AX241" s="55"/>
      <c r="AY241" s="55"/>
      <c r="AZ241" s="55"/>
      <c r="BA241" s="55"/>
      <c r="BB241" s="55"/>
      <c r="BC241" s="55"/>
      <c r="BD241" s="57"/>
    </row>
    <row r="242" spans="1:56">
      <c r="A242" s="12" t="str">
        <f>Roster!A242</f>
        <v/>
      </c>
      <c r="B242" s="28">
        <f>Roster!C242</f>
        <v>0</v>
      </c>
      <c r="C242" s="55"/>
      <c r="D242" s="56"/>
      <c r="E242" s="57"/>
      <c r="F242" s="57"/>
      <c r="G242" s="57"/>
      <c r="H242" s="57"/>
      <c r="I242" s="57"/>
      <c r="J242" s="57"/>
      <c r="K242" s="45"/>
      <c r="L242" s="58"/>
      <c r="M242" s="56"/>
      <c r="N242" s="57"/>
      <c r="O242" s="57"/>
      <c r="P242" s="57"/>
      <c r="Q242" s="57"/>
      <c r="R242" s="57"/>
      <c r="S242" s="57"/>
      <c r="T242" s="45"/>
      <c r="U242" s="71"/>
      <c r="V242" s="57"/>
      <c r="W242" s="57"/>
      <c r="X242" s="57"/>
      <c r="Y242" s="57"/>
      <c r="Z242" s="57"/>
      <c r="AA242" s="57"/>
      <c r="AB242" s="57"/>
      <c r="AC242" s="57"/>
      <c r="AD242" s="71"/>
      <c r="AE242" s="57"/>
      <c r="AF242" s="57"/>
      <c r="AG242" s="57"/>
      <c r="AH242" s="57"/>
      <c r="AI242" s="57"/>
      <c r="AJ242" s="57"/>
      <c r="AK242" s="57"/>
      <c r="AL242" s="57"/>
      <c r="AM242" s="71"/>
      <c r="AN242" s="57"/>
      <c r="AO242" s="57"/>
      <c r="AP242" s="57"/>
      <c r="AQ242" s="57"/>
      <c r="AR242" s="57"/>
      <c r="AS242" s="57"/>
      <c r="AT242" s="57"/>
      <c r="AU242" s="57"/>
      <c r="AV242" s="71"/>
      <c r="AW242" s="57"/>
      <c r="AX242" s="55"/>
      <c r="AY242" s="55"/>
      <c r="AZ242" s="55"/>
      <c r="BA242" s="55"/>
      <c r="BB242" s="55"/>
      <c r="BC242" s="55"/>
      <c r="BD242" s="57"/>
    </row>
    <row r="243" spans="1:56">
      <c r="A243" s="12" t="str">
        <f>Roster!A243</f>
        <v/>
      </c>
      <c r="B243" s="28">
        <f>Roster!C243</f>
        <v>0</v>
      </c>
      <c r="C243" s="55"/>
      <c r="D243" s="56"/>
      <c r="E243" s="57"/>
      <c r="F243" s="57"/>
      <c r="G243" s="57"/>
      <c r="H243" s="57"/>
      <c r="I243" s="57"/>
      <c r="J243" s="57"/>
      <c r="K243" s="45"/>
      <c r="L243" s="58"/>
      <c r="M243" s="56"/>
      <c r="N243" s="57"/>
      <c r="O243" s="57"/>
      <c r="P243" s="57"/>
      <c r="Q243" s="57"/>
      <c r="R243" s="57"/>
      <c r="S243" s="57"/>
      <c r="T243" s="45"/>
      <c r="U243" s="71"/>
      <c r="V243" s="57"/>
      <c r="W243" s="57"/>
      <c r="X243" s="57"/>
      <c r="Y243" s="57"/>
      <c r="Z243" s="57"/>
      <c r="AA243" s="57"/>
      <c r="AB243" s="57"/>
      <c r="AC243" s="57"/>
      <c r="AD243" s="71"/>
      <c r="AE243" s="57"/>
      <c r="AF243" s="57"/>
      <c r="AG243" s="57"/>
      <c r="AH243" s="57"/>
      <c r="AI243" s="57"/>
      <c r="AJ243" s="57"/>
      <c r="AK243" s="57"/>
      <c r="AL243" s="57"/>
      <c r="AM243" s="71"/>
      <c r="AN243" s="57"/>
      <c r="AO243" s="57"/>
      <c r="AP243" s="57"/>
      <c r="AQ243" s="57"/>
      <c r="AR243" s="57"/>
      <c r="AS243" s="57"/>
      <c r="AT243" s="57"/>
      <c r="AU243" s="57"/>
      <c r="AV243" s="71"/>
      <c r="AW243" s="57"/>
      <c r="AX243" s="55"/>
      <c r="AY243" s="55"/>
      <c r="AZ243" s="55"/>
      <c r="BA243" s="55"/>
      <c r="BB243" s="55"/>
      <c r="BC243" s="55"/>
      <c r="BD243" s="57"/>
    </row>
    <row r="244" spans="1:56">
      <c r="A244" s="12" t="str">
        <f>Roster!A244</f>
        <v/>
      </c>
      <c r="B244" s="28">
        <f>Roster!C244</f>
        <v>0</v>
      </c>
      <c r="C244" s="55"/>
      <c r="D244" s="56"/>
      <c r="E244" s="57"/>
      <c r="F244" s="57"/>
      <c r="G244" s="57"/>
      <c r="H244" s="57"/>
      <c r="I244" s="57"/>
      <c r="J244" s="57"/>
      <c r="K244" s="45"/>
      <c r="L244" s="58"/>
      <c r="M244" s="56"/>
      <c r="N244" s="57"/>
      <c r="O244" s="57"/>
      <c r="P244" s="57"/>
      <c r="Q244" s="57"/>
      <c r="R244" s="57"/>
      <c r="S244" s="57"/>
      <c r="T244" s="45"/>
      <c r="U244" s="71"/>
      <c r="V244" s="57"/>
      <c r="W244" s="57"/>
      <c r="X244" s="57"/>
      <c r="Y244" s="57"/>
      <c r="Z244" s="57"/>
      <c r="AA244" s="57"/>
      <c r="AB244" s="57"/>
      <c r="AC244" s="57"/>
      <c r="AD244" s="71"/>
      <c r="AE244" s="57"/>
      <c r="AF244" s="57"/>
      <c r="AG244" s="57"/>
      <c r="AH244" s="57"/>
      <c r="AI244" s="57"/>
      <c r="AJ244" s="57"/>
      <c r="AK244" s="57"/>
      <c r="AL244" s="57"/>
      <c r="AM244" s="71"/>
      <c r="AN244" s="57"/>
      <c r="AO244" s="57"/>
      <c r="AP244" s="57"/>
      <c r="AQ244" s="57"/>
      <c r="AR244" s="57"/>
      <c r="AS244" s="57"/>
      <c r="AT244" s="57"/>
      <c r="AU244" s="57"/>
      <c r="AV244" s="71"/>
      <c r="AW244" s="57"/>
      <c r="AX244" s="55"/>
      <c r="AY244" s="55"/>
      <c r="AZ244" s="55"/>
      <c r="BA244" s="55"/>
      <c r="BB244" s="55"/>
      <c r="BC244" s="55"/>
      <c r="BD244" s="57"/>
    </row>
    <row r="245" spans="1:56">
      <c r="A245" s="12" t="str">
        <f>Roster!A245</f>
        <v/>
      </c>
      <c r="B245" s="28">
        <f>Roster!C245</f>
        <v>0</v>
      </c>
      <c r="C245" s="55"/>
      <c r="D245" s="56"/>
      <c r="E245" s="57"/>
      <c r="F245" s="57"/>
      <c r="G245" s="57"/>
      <c r="H245" s="57"/>
      <c r="I245" s="57"/>
      <c r="J245" s="57"/>
      <c r="K245" s="45"/>
      <c r="L245" s="58"/>
      <c r="M245" s="56"/>
      <c r="N245" s="57"/>
      <c r="O245" s="57"/>
      <c r="P245" s="57"/>
      <c r="Q245" s="57"/>
      <c r="R245" s="57"/>
      <c r="S245" s="57"/>
      <c r="T245" s="45"/>
      <c r="U245" s="71"/>
      <c r="V245" s="57"/>
      <c r="W245" s="57"/>
      <c r="X245" s="57"/>
      <c r="Y245" s="57"/>
      <c r="Z245" s="57"/>
      <c r="AA245" s="57"/>
      <c r="AB245" s="57"/>
      <c r="AC245" s="57"/>
      <c r="AD245" s="71"/>
      <c r="AE245" s="57"/>
      <c r="AF245" s="57"/>
      <c r="AG245" s="57"/>
      <c r="AH245" s="57"/>
      <c r="AI245" s="57"/>
      <c r="AJ245" s="57"/>
      <c r="AK245" s="57"/>
      <c r="AL245" s="57"/>
      <c r="AM245" s="71"/>
      <c r="AN245" s="57"/>
      <c r="AO245" s="57"/>
      <c r="AP245" s="57"/>
      <c r="AQ245" s="57"/>
      <c r="AR245" s="57"/>
      <c r="AS245" s="57"/>
      <c r="AT245" s="57"/>
      <c r="AU245" s="57"/>
      <c r="AV245" s="71"/>
      <c r="AW245" s="57"/>
      <c r="AX245" s="55"/>
      <c r="AY245" s="55"/>
      <c r="AZ245" s="55"/>
      <c r="BA245" s="55"/>
      <c r="BB245" s="55"/>
      <c r="BC245" s="55"/>
      <c r="BD245" s="57"/>
    </row>
    <row r="246" spans="1:56">
      <c r="A246" s="12" t="str">
        <f>Roster!A246</f>
        <v/>
      </c>
      <c r="B246" s="28">
        <f>Roster!C246</f>
        <v>0</v>
      </c>
      <c r="C246" s="55"/>
      <c r="D246" s="56"/>
      <c r="E246" s="57"/>
      <c r="F246" s="57"/>
      <c r="G246" s="57"/>
      <c r="H246" s="57"/>
      <c r="I246" s="57"/>
      <c r="J246" s="57"/>
      <c r="K246" s="45"/>
      <c r="L246" s="58"/>
      <c r="M246" s="56"/>
      <c r="N246" s="57"/>
      <c r="O246" s="57"/>
      <c r="P246" s="57"/>
      <c r="Q246" s="57"/>
      <c r="R246" s="57"/>
      <c r="S246" s="57"/>
      <c r="T246" s="45"/>
      <c r="U246" s="71"/>
      <c r="V246" s="57"/>
      <c r="W246" s="57"/>
      <c r="X246" s="57"/>
      <c r="Y246" s="57"/>
      <c r="Z246" s="57"/>
      <c r="AA246" s="57"/>
      <c r="AB246" s="57"/>
      <c r="AC246" s="57"/>
      <c r="AD246" s="71"/>
      <c r="AE246" s="57"/>
      <c r="AF246" s="57"/>
      <c r="AG246" s="57"/>
      <c r="AH246" s="57"/>
      <c r="AI246" s="57"/>
      <c r="AJ246" s="57"/>
      <c r="AK246" s="57"/>
      <c r="AL246" s="57"/>
      <c r="AM246" s="71"/>
      <c r="AN246" s="57"/>
      <c r="AO246" s="57"/>
      <c r="AP246" s="57"/>
      <c r="AQ246" s="57"/>
      <c r="AR246" s="57"/>
      <c r="AS246" s="57"/>
      <c r="AT246" s="57"/>
      <c r="AU246" s="57"/>
      <c r="AV246" s="71"/>
      <c r="AW246" s="57"/>
      <c r="AX246" s="55"/>
      <c r="AY246" s="55"/>
      <c r="AZ246" s="55"/>
      <c r="BA246" s="55"/>
      <c r="BB246" s="55"/>
      <c r="BC246" s="55"/>
      <c r="BD246" s="57"/>
    </row>
    <row r="247" spans="1:56">
      <c r="A247" s="12" t="str">
        <f>Roster!A247</f>
        <v/>
      </c>
      <c r="B247" s="28">
        <f>Roster!C247</f>
        <v>0</v>
      </c>
      <c r="C247" s="55"/>
      <c r="D247" s="56"/>
      <c r="E247" s="57"/>
      <c r="F247" s="57"/>
      <c r="G247" s="57"/>
      <c r="H247" s="57"/>
      <c r="I247" s="57"/>
      <c r="J247" s="57"/>
      <c r="K247" s="45"/>
      <c r="L247" s="58"/>
      <c r="M247" s="56"/>
      <c r="N247" s="57"/>
      <c r="O247" s="57"/>
      <c r="P247" s="57"/>
      <c r="Q247" s="57"/>
      <c r="R247" s="57"/>
      <c r="S247" s="57"/>
      <c r="T247" s="45"/>
      <c r="U247" s="71"/>
      <c r="V247" s="57"/>
      <c r="W247" s="57"/>
      <c r="X247" s="57"/>
      <c r="Y247" s="57"/>
      <c r="Z247" s="57"/>
      <c r="AA247" s="57"/>
      <c r="AB247" s="57"/>
      <c r="AC247" s="57"/>
      <c r="AD247" s="71"/>
      <c r="AE247" s="57"/>
      <c r="AF247" s="57"/>
      <c r="AG247" s="57"/>
      <c r="AH247" s="57"/>
      <c r="AI247" s="57"/>
      <c r="AJ247" s="57"/>
      <c r="AK247" s="57"/>
      <c r="AL247" s="57"/>
      <c r="AM247" s="71"/>
      <c r="AN247" s="57"/>
      <c r="AO247" s="57"/>
      <c r="AP247" s="57"/>
      <c r="AQ247" s="57"/>
      <c r="AR247" s="57"/>
      <c r="AS247" s="57"/>
      <c r="AT247" s="57"/>
      <c r="AU247" s="57"/>
      <c r="AV247" s="71"/>
      <c r="AW247" s="57"/>
      <c r="AX247" s="55"/>
      <c r="AY247" s="55"/>
      <c r="AZ247" s="55"/>
      <c r="BA247" s="55"/>
      <c r="BB247" s="55"/>
      <c r="BC247" s="55"/>
      <c r="BD247" s="57"/>
    </row>
    <row r="248" spans="1:56">
      <c r="A248" s="12" t="str">
        <f>Roster!A248</f>
        <v/>
      </c>
      <c r="B248" s="28">
        <f>Roster!C248</f>
        <v>0</v>
      </c>
      <c r="C248" s="55"/>
      <c r="D248" s="56"/>
      <c r="E248" s="57"/>
      <c r="F248" s="57"/>
      <c r="G248" s="57"/>
      <c r="H248" s="57"/>
      <c r="I248" s="57"/>
      <c r="J248" s="57"/>
      <c r="K248" s="45"/>
      <c r="L248" s="58"/>
      <c r="M248" s="56"/>
      <c r="N248" s="57"/>
      <c r="O248" s="57"/>
      <c r="P248" s="57"/>
      <c r="Q248" s="57"/>
      <c r="R248" s="57"/>
      <c r="S248" s="57"/>
      <c r="T248" s="45"/>
      <c r="U248" s="71"/>
      <c r="V248" s="57"/>
      <c r="W248" s="57"/>
      <c r="X248" s="57"/>
      <c r="Y248" s="57"/>
      <c r="Z248" s="57"/>
      <c r="AA248" s="57"/>
      <c r="AB248" s="57"/>
      <c r="AC248" s="57"/>
      <c r="AD248" s="71"/>
      <c r="AE248" s="57"/>
      <c r="AF248" s="57"/>
      <c r="AG248" s="57"/>
      <c r="AH248" s="57"/>
      <c r="AI248" s="57"/>
      <c r="AJ248" s="57"/>
      <c r="AK248" s="57"/>
      <c r="AL248" s="57"/>
      <c r="AM248" s="71"/>
      <c r="AN248" s="57"/>
      <c r="AO248" s="57"/>
      <c r="AP248" s="57"/>
      <c r="AQ248" s="57"/>
      <c r="AR248" s="57"/>
      <c r="AS248" s="57"/>
      <c r="AT248" s="57"/>
      <c r="AU248" s="57"/>
      <c r="AV248" s="71"/>
      <c r="AW248" s="57"/>
      <c r="AX248" s="55"/>
      <c r="AY248" s="55"/>
      <c r="AZ248" s="55"/>
      <c r="BA248" s="55"/>
      <c r="BB248" s="55"/>
      <c r="BC248" s="55"/>
      <c r="BD248" s="57"/>
    </row>
    <row r="249" spans="1:56">
      <c r="A249" s="12" t="str">
        <f>Roster!A249</f>
        <v/>
      </c>
      <c r="B249" s="28">
        <f>Roster!C249</f>
        <v>0</v>
      </c>
      <c r="C249" s="55"/>
      <c r="D249" s="56"/>
      <c r="E249" s="57"/>
      <c r="F249" s="57"/>
      <c r="G249" s="57"/>
      <c r="H249" s="57"/>
      <c r="I249" s="57"/>
      <c r="J249" s="57"/>
      <c r="K249" s="45"/>
      <c r="L249" s="58"/>
      <c r="M249" s="56"/>
      <c r="N249" s="57"/>
      <c r="O249" s="57"/>
      <c r="P249" s="57"/>
      <c r="Q249" s="57"/>
      <c r="R249" s="57"/>
      <c r="S249" s="57"/>
      <c r="T249" s="45"/>
      <c r="U249" s="71"/>
      <c r="V249" s="57"/>
      <c r="W249" s="57"/>
      <c r="X249" s="57"/>
      <c r="Y249" s="57"/>
      <c r="Z249" s="57"/>
      <c r="AA249" s="57"/>
      <c r="AB249" s="57"/>
      <c r="AC249" s="57"/>
      <c r="AD249" s="71"/>
      <c r="AE249" s="57"/>
      <c r="AF249" s="57"/>
      <c r="AG249" s="57"/>
      <c r="AH249" s="57"/>
      <c r="AI249" s="57"/>
      <c r="AJ249" s="57"/>
      <c r="AK249" s="57"/>
      <c r="AL249" s="57"/>
      <c r="AM249" s="71"/>
      <c r="AN249" s="57"/>
      <c r="AO249" s="57"/>
      <c r="AP249" s="57"/>
      <c r="AQ249" s="57"/>
      <c r="AR249" s="57"/>
      <c r="AS249" s="57"/>
      <c r="AT249" s="57"/>
      <c r="AU249" s="57"/>
      <c r="AV249" s="71"/>
      <c r="AW249" s="57"/>
      <c r="AX249" s="55"/>
      <c r="AY249" s="55"/>
      <c r="AZ249" s="55"/>
      <c r="BA249" s="55"/>
      <c r="BB249" s="55"/>
      <c r="BC249" s="55"/>
      <c r="BD249" s="57"/>
    </row>
    <row r="250" spans="1:56">
      <c r="A250" s="12" t="str">
        <f>Roster!A250</f>
        <v/>
      </c>
      <c r="B250" s="28">
        <f>Roster!C250</f>
        <v>0</v>
      </c>
      <c r="C250" s="55"/>
      <c r="D250" s="56"/>
      <c r="E250" s="57"/>
      <c r="F250" s="57"/>
      <c r="G250" s="57"/>
      <c r="H250" s="57"/>
      <c r="I250" s="57"/>
      <c r="J250" s="57"/>
      <c r="K250" s="45"/>
      <c r="L250" s="58"/>
      <c r="M250" s="56"/>
      <c r="N250" s="57"/>
      <c r="O250" s="57"/>
      <c r="P250" s="57"/>
      <c r="Q250" s="57"/>
      <c r="R250" s="57"/>
      <c r="S250" s="57"/>
      <c r="T250" s="45"/>
      <c r="U250" s="71"/>
      <c r="V250" s="57"/>
      <c r="W250" s="57"/>
      <c r="X250" s="57"/>
      <c r="Y250" s="57"/>
      <c r="Z250" s="57"/>
      <c r="AA250" s="57"/>
      <c r="AB250" s="57"/>
      <c r="AC250" s="57"/>
      <c r="AD250" s="71"/>
      <c r="AE250" s="57"/>
      <c r="AF250" s="57"/>
      <c r="AG250" s="57"/>
      <c r="AH250" s="57"/>
      <c r="AI250" s="57"/>
      <c r="AJ250" s="57"/>
      <c r="AK250" s="57"/>
      <c r="AL250" s="57"/>
      <c r="AM250" s="71"/>
      <c r="AN250" s="57"/>
      <c r="AO250" s="57"/>
      <c r="AP250" s="57"/>
      <c r="AQ250" s="57"/>
      <c r="AR250" s="57"/>
      <c r="AS250" s="57"/>
      <c r="AT250" s="57"/>
      <c r="AU250" s="57"/>
      <c r="AV250" s="71"/>
      <c r="AW250" s="57"/>
      <c r="AX250" s="55"/>
      <c r="AY250" s="55"/>
      <c r="AZ250" s="55"/>
      <c r="BA250" s="55"/>
      <c r="BB250" s="55"/>
      <c r="BC250" s="55"/>
      <c r="BD250" s="57"/>
    </row>
    <row r="251" spans="1:56">
      <c r="A251" s="12" t="str">
        <f>Roster!A251</f>
        <v/>
      </c>
      <c r="B251" s="28">
        <f>Roster!C251</f>
        <v>0</v>
      </c>
      <c r="C251" s="55"/>
      <c r="D251" s="56"/>
      <c r="E251" s="57"/>
      <c r="F251" s="57"/>
      <c r="G251" s="57"/>
      <c r="H251" s="57"/>
      <c r="I251" s="57"/>
      <c r="J251" s="57"/>
      <c r="K251" s="45"/>
      <c r="L251" s="58"/>
      <c r="M251" s="56"/>
      <c r="N251" s="57"/>
      <c r="O251" s="57"/>
      <c r="P251" s="57"/>
      <c r="Q251" s="57"/>
      <c r="R251" s="57"/>
      <c r="S251" s="57"/>
      <c r="T251" s="45"/>
      <c r="U251" s="71"/>
      <c r="V251" s="57"/>
      <c r="W251" s="57"/>
      <c r="X251" s="57"/>
      <c r="Y251" s="57"/>
      <c r="Z251" s="57"/>
      <c r="AA251" s="57"/>
      <c r="AB251" s="57"/>
      <c r="AC251" s="57"/>
      <c r="AD251" s="71"/>
      <c r="AE251" s="57"/>
      <c r="AF251" s="57"/>
      <c r="AG251" s="57"/>
      <c r="AH251" s="57"/>
      <c r="AI251" s="57"/>
      <c r="AJ251" s="57"/>
      <c r="AK251" s="57"/>
      <c r="AL251" s="57"/>
      <c r="AM251" s="71"/>
      <c r="AN251" s="57"/>
      <c r="AO251" s="57"/>
      <c r="AP251" s="57"/>
      <c r="AQ251" s="57"/>
      <c r="AR251" s="57"/>
      <c r="AS251" s="57"/>
      <c r="AT251" s="57"/>
      <c r="AU251" s="57"/>
      <c r="AV251" s="71"/>
      <c r="AW251" s="57"/>
      <c r="AX251" s="55"/>
      <c r="AY251" s="55"/>
      <c r="AZ251" s="55"/>
      <c r="BA251" s="55"/>
      <c r="BB251" s="55"/>
      <c r="BC251" s="55"/>
      <c r="BD251" s="57"/>
    </row>
    <row r="252" spans="1:56">
      <c r="A252" s="12" t="str">
        <f>Roster!A252</f>
        <v/>
      </c>
      <c r="B252" s="28">
        <f>Roster!C252</f>
        <v>0</v>
      </c>
      <c r="C252" s="55"/>
      <c r="D252" s="56"/>
      <c r="E252" s="57"/>
      <c r="F252" s="57"/>
      <c r="G252" s="57"/>
      <c r="H252" s="57"/>
      <c r="I252" s="57"/>
      <c r="J252" s="57"/>
      <c r="K252" s="45"/>
      <c r="L252" s="58"/>
      <c r="M252" s="56"/>
      <c r="N252" s="57"/>
      <c r="O252" s="57"/>
      <c r="P252" s="57"/>
      <c r="Q252" s="57"/>
      <c r="R252" s="57"/>
      <c r="S252" s="57"/>
      <c r="T252" s="45"/>
      <c r="U252" s="71"/>
      <c r="V252" s="57"/>
      <c r="W252" s="57"/>
      <c r="X252" s="57"/>
      <c r="Y252" s="57"/>
      <c r="Z252" s="57"/>
      <c r="AA252" s="57"/>
      <c r="AB252" s="57"/>
      <c r="AC252" s="57"/>
      <c r="AD252" s="71"/>
      <c r="AE252" s="57"/>
      <c r="AF252" s="57"/>
      <c r="AG252" s="57"/>
      <c r="AH252" s="57"/>
      <c r="AI252" s="57"/>
      <c r="AJ252" s="57"/>
      <c r="AK252" s="57"/>
      <c r="AL252" s="57"/>
      <c r="AM252" s="71"/>
      <c r="AN252" s="57"/>
      <c r="AO252" s="57"/>
      <c r="AP252" s="57"/>
      <c r="AQ252" s="57"/>
      <c r="AR252" s="57"/>
      <c r="AS252" s="57"/>
      <c r="AT252" s="57"/>
      <c r="AU252" s="57"/>
      <c r="AV252" s="71"/>
      <c r="AW252" s="57"/>
      <c r="AX252" s="55"/>
      <c r="AY252" s="55"/>
      <c r="AZ252" s="55"/>
      <c r="BA252" s="55"/>
      <c r="BB252" s="55"/>
      <c r="BC252" s="55"/>
      <c r="BD252" s="57"/>
    </row>
    <row r="253" spans="1:56">
      <c r="A253" s="12" t="str">
        <f>Roster!A253</f>
        <v/>
      </c>
      <c r="B253" s="28">
        <f>Roster!C253</f>
        <v>0</v>
      </c>
      <c r="C253" s="55"/>
      <c r="D253" s="56"/>
      <c r="E253" s="57"/>
      <c r="F253" s="57"/>
      <c r="G253" s="57"/>
      <c r="H253" s="57"/>
      <c r="I253" s="57"/>
      <c r="J253" s="57"/>
      <c r="K253" s="45"/>
      <c r="L253" s="58"/>
      <c r="M253" s="56"/>
      <c r="N253" s="57"/>
      <c r="O253" s="57"/>
      <c r="P253" s="57"/>
      <c r="Q253" s="57"/>
      <c r="R253" s="57"/>
      <c r="S253" s="57"/>
      <c r="T253" s="45"/>
      <c r="U253" s="71"/>
      <c r="V253" s="57"/>
      <c r="W253" s="57"/>
      <c r="X253" s="57"/>
      <c r="Y253" s="57"/>
      <c r="Z253" s="57"/>
      <c r="AA253" s="57"/>
      <c r="AB253" s="57"/>
      <c r="AC253" s="57"/>
      <c r="AD253" s="71"/>
      <c r="AE253" s="57"/>
      <c r="AF253" s="57"/>
      <c r="AG253" s="57"/>
      <c r="AH253" s="57"/>
      <c r="AI253" s="57"/>
      <c r="AJ253" s="57"/>
      <c r="AK253" s="57"/>
      <c r="AL253" s="57"/>
      <c r="AM253" s="71"/>
      <c r="AN253" s="57"/>
      <c r="AO253" s="57"/>
      <c r="AP253" s="57"/>
      <c r="AQ253" s="57"/>
      <c r="AR253" s="57"/>
      <c r="AS253" s="57"/>
      <c r="AT253" s="57"/>
      <c r="AU253" s="57"/>
      <c r="AV253" s="71"/>
      <c r="AW253" s="57"/>
      <c r="AX253" s="55"/>
      <c r="AY253" s="55"/>
      <c r="AZ253" s="55"/>
      <c r="BA253" s="55"/>
      <c r="BB253" s="55"/>
      <c r="BC253" s="55"/>
      <c r="BD253" s="57"/>
    </row>
    <row r="254" spans="1:56">
      <c r="A254" s="12" t="str">
        <f>Roster!A254</f>
        <v/>
      </c>
      <c r="B254" s="28">
        <f>Roster!C254</f>
        <v>0</v>
      </c>
      <c r="C254" s="55"/>
      <c r="D254" s="56"/>
      <c r="E254" s="57"/>
      <c r="F254" s="57"/>
      <c r="G254" s="57"/>
      <c r="H254" s="57"/>
      <c r="I254" s="57"/>
      <c r="J254" s="57"/>
      <c r="K254" s="45"/>
      <c r="L254" s="58"/>
      <c r="M254" s="56"/>
      <c r="N254" s="57"/>
      <c r="O254" s="57"/>
      <c r="P254" s="57"/>
      <c r="Q254" s="57"/>
      <c r="R254" s="57"/>
      <c r="S254" s="57"/>
      <c r="T254" s="45"/>
      <c r="U254" s="71"/>
      <c r="V254" s="57"/>
      <c r="W254" s="57"/>
      <c r="X254" s="57"/>
      <c r="Y254" s="57"/>
      <c r="Z254" s="57"/>
      <c r="AA254" s="57"/>
      <c r="AB254" s="57"/>
      <c r="AC254" s="57"/>
      <c r="AD254" s="71"/>
      <c r="AE254" s="57"/>
      <c r="AF254" s="57"/>
      <c r="AG254" s="57"/>
      <c r="AH254" s="57"/>
      <c r="AI254" s="57"/>
      <c r="AJ254" s="57"/>
      <c r="AK254" s="57"/>
      <c r="AL254" s="57"/>
      <c r="AM254" s="71"/>
      <c r="AN254" s="57"/>
      <c r="AO254" s="57"/>
      <c r="AP254" s="57"/>
      <c r="AQ254" s="57"/>
      <c r="AR254" s="57"/>
      <c r="AS254" s="57"/>
      <c r="AT254" s="57"/>
      <c r="AU254" s="57"/>
      <c r="AV254" s="71"/>
      <c r="AW254" s="57"/>
      <c r="AX254" s="55"/>
      <c r="AY254" s="55"/>
      <c r="AZ254" s="55"/>
      <c r="BA254" s="55"/>
      <c r="BB254" s="55"/>
      <c r="BC254" s="55"/>
      <c r="BD254" s="57"/>
    </row>
    <row r="255" spans="1:56">
      <c r="A255" s="12" t="str">
        <f>Roster!A255</f>
        <v/>
      </c>
      <c r="B255" s="28">
        <f>Roster!C255</f>
        <v>0</v>
      </c>
      <c r="C255" s="55"/>
      <c r="D255" s="56"/>
      <c r="E255" s="57"/>
      <c r="F255" s="57"/>
      <c r="G255" s="57"/>
      <c r="H255" s="57"/>
      <c r="I255" s="57"/>
      <c r="J255" s="57"/>
      <c r="K255" s="45"/>
      <c r="L255" s="58"/>
      <c r="M255" s="56"/>
      <c r="N255" s="57"/>
      <c r="O255" s="57"/>
      <c r="P255" s="57"/>
      <c r="Q255" s="57"/>
      <c r="R255" s="57"/>
      <c r="S255" s="57"/>
      <c r="T255" s="45"/>
      <c r="U255" s="71"/>
      <c r="V255" s="57"/>
      <c r="W255" s="57"/>
      <c r="X255" s="57"/>
      <c r="Y255" s="57"/>
      <c r="Z255" s="57"/>
      <c r="AA255" s="57"/>
      <c r="AB255" s="57"/>
      <c r="AC255" s="57"/>
      <c r="AD255" s="71"/>
      <c r="AE255" s="57"/>
      <c r="AF255" s="57"/>
      <c r="AG255" s="57"/>
      <c r="AH255" s="57"/>
      <c r="AI255" s="57"/>
      <c r="AJ255" s="57"/>
      <c r="AK255" s="57"/>
      <c r="AL255" s="57"/>
      <c r="AM255" s="71"/>
      <c r="AN255" s="57"/>
      <c r="AO255" s="57"/>
      <c r="AP255" s="57"/>
      <c r="AQ255" s="57"/>
      <c r="AR255" s="57"/>
      <c r="AS255" s="57"/>
      <c r="AT255" s="57"/>
      <c r="AU255" s="57"/>
      <c r="AV255" s="71"/>
      <c r="AW255" s="57"/>
      <c r="AX255" s="55"/>
      <c r="AY255" s="55"/>
      <c r="AZ255" s="55"/>
      <c r="BA255" s="55"/>
      <c r="BB255" s="55"/>
      <c r="BC255" s="55"/>
      <c r="BD255" s="57"/>
    </row>
    <row r="256" spans="1:56">
      <c r="A256" s="12" t="str">
        <f>Roster!A256</f>
        <v/>
      </c>
      <c r="B256" s="28">
        <f>Roster!C256</f>
        <v>0</v>
      </c>
      <c r="C256" s="55"/>
      <c r="D256" s="56"/>
      <c r="E256" s="57"/>
      <c r="F256" s="57"/>
      <c r="G256" s="57"/>
      <c r="H256" s="57"/>
      <c r="I256" s="57"/>
      <c r="J256" s="57"/>
      <c r="K256" s="45"/>
      <c r="L256" s="58"/>
      <c r="M256" s="56"/>
      <c r="N256" s="57"/>
      <c r="O256" s="57"/>
      <c r="P256" s="57"/>
      <c r="Q256" s="57"/>
      <c r="R256" s="57"/>
      <c r="S256" s="57"/>
      <c r="T256" s="45"/>
      <c r="U256" s="71"/>
      <c r="V256" s="57"/>
      <c r="W256" s="57"/>
      <c r="X256" s="57"/>
      <c r="Y256" s="57"/>
      <c r="Z256" s="57"/>
      <c r="AA256" s="57"/>
      <c r="AB256" s="57"/>
      <c r="AC256" s="57"/>
      <c r="AD256" s="71"/>
      <c r="AE256" s="57"/>
      <c r="AF256" s="57"/>
      <c r="AG256" s="57"/>
      <c r="AH256" s="57"/>
      <c r="AI256" s="57"/>
      <c r="AJ256" s="57"/>
      <c r="AK256" s="57"/>
      <c r="AL256" s="57"/>
      <c r="AM256" s="71"/>
      <c r="AN256" s="57"/>
      <c r="AO256" s="57"/>
      <c r="AP256" s="57"/>
      <c r="AQ256" s="57"/>
      <c r="AR256" s="57"/>
      <c r="AS256" s="57"/>
      <c r="AT256" s="57"/>
      <c r="AU256" s="57"/>
      <c r="AV256" s="71"/>
      <c r="AW256" s="57"/>
      <c r="AX256" s="55"/>
      <c r="AY256" s="55"/>
      <c r="AZ256" s="55"/>
      <c r="BA256" s="55"/>
      <c r="BB256" s="55"/>
      <c r="BC256" s="55"/>
      <c r="BD256" s="57"/>
    </row>
    <row r="257" spans="1:56">
      <c r="A257" s="12" t="str">
        <f>Roster!A257</f>
        <v/>
      </c>
      <c r="B257" s="28">
        <f>Roster!C257</f>
        <v>0</v>
      </c>
      <c r="C257" s="55"/>
      <c r="D257" s="56"/>
      <c r="E257" s="57"/>
      <c r="F257" s="57"/>
      <c r="G257" s="57"/>
      <c r="H257" s="57"/>
      <c r="I257" s="57"/>
      <c r="J257" s="57"/>
      <c r="K257" s="45"/>
      <c r="L257" s="58"/>
      <c r="M257" s="56"/>
      <c r="N257" s="57"/>
      <c r="O257" s="57"/>
      <c r="P257" s="57"/>
      <c r="Q257" s="57"/>
      <c r="R257" s="57"/>
      <c r="S257" s="57"/>
      <c r="T257" s="45"/>
      <c r="U257" s="71"/>
      <c r="V257" s="57"/>
      <c r="W257" s="57"/>
      <c r="X257" s="57"/>
      <c r="Y257" s="57"/>
      <c r="Z257" s="57"/>
      <c r="AA257" s="57"/>
      <c r="AB257" s="57"/>
      <c r="AC257" s="57"/>
      <c r="AD257" s="71"/>
      <c r="AE257" s="57"/>
      <c r="AF257" s="57"/>
      <c r="AG257" s="57"/>
      <c r="AH257" s="57"/>
      <c r="AI257" s="57"/>
      <c r="AJ257" s="57"/>
      <c r="AK257" s="57"/>
      <c r="AL257" s="57"/>
      <c r="AM257" s="71"/>
      <c r="AN257" s="57"/>
      <c r="AO257" s="57"/>
      <c r="AP257" s="57"/>
      <c r="AQ257" s="57"/>
      <c r="AR257" s="57"/>
      <c r="AS257" s="57"/>
      <c r="AT257" s="57"/>
      <c r="AU257" s="57"/>
      <c r="AV257" s="71"/>
      <c r="AW257" s="57"/>
      <c r="AX257" s="55"/>
      <c r="AY257" s="55"/>
      <c r="AZ257" s="55"/>
      <c r="BA257" s="55"/>
      <c r="BB257" s="55"/>
      <c r="BC257" s="55"/>
      <c r="BD257" s="57"/>
    </row>
    <row r="258" spans="1:56">
      <c r="A258" s="12" t="str">
        <f>Roster!A258</f>
        <v/>
      </c>
      <c r="B258" s="28">
        <f>Roster!C258</f>
        <v>0</v>
      </c>
      <c r="C258" s="55"/>
      <c r="D258" s="56"/>
      <c r="E258" s="57"/>
      <c r="F258" s="57"/>
      <c r="G258" s="57"/>
      <c r="H258" s="57"/>
      <c r="I258" s="57"/>
      <c r="J258" s="57"/>
      <c r="K258" s="45"/>
      <c r="L258" s="58"/>
      <c r="M258" s="56"/>
      <c r="N258" s="57"/>
      <c r="O258" s="57"/>
      <c r="P258" s="57"/>
      <c r="Q258" s="57"/>
      <c r="R258" s="57"/>
      <c r="S258" s="57"/>
      <c r="T258" s="45"/>
      <c r="U258" s="71"/>
      <c r="V258" s="57"/>
      <c r="W258" s="57"/>
      <c r="X258" s="57"/>
      <c r="Y258" s="57"/>
      <c r="Z258" s="57"/>
      <c r="AA258" s="57"/>
      <c r="AB258" s="57"/>
      <c r="AC258" s="57"/>
      <c r="AD258" s="71"/>
      <c r="AE258" s="57"/>
      <c r="AF258" s="57"/>
      <c r="AG258" s="57"/>
      <c r="AH258" s="57"/>
      <c r="AI258" s="57"/>
      <c r="AJ258" s="57"/>
      <c r="AK258" s="57"/>
      <c r="AL258" s="57"/>
      <c r="AM258" s="71"/>
      <c r="AN258" s="57"/>
      <c r="AO258" s="57"/>
      <c r="AP258" s="57"/>
      <c r="AQ258" s="57"/>
      <c r="AR258" s="57"/>
      <c r="AS258" s="57"/>
      <c r="AT258" s="57"/>
      <c r="AU258" s="57"/>
      <c r="AV258" s="71"/>
      <c r="AW258" s="57"/>
      <c r="AX258" s="55"/>
      <c r="AY258" s="55"/>
      <c r="AZ258" s="55"/>
      <c r="BA258" s="55"/>
      <c r="BB258" s="55"/>
      <c r="BC258" s="55"/>
      <c r="BD258" s="57"/>
    </row>
    <row r="259" spans="1:56">
      <c r="A259" s="12" t="str">
        <f>Roster!A259</f>
        <v/>
      </c>
      <c r="B259" s="28">
        <f>Roster!C259</f>
        <v>0</v>
      </c>
      <c r="C259" s="55"/>
      <c r="D259" s="56"/>
      <c r="E259" s="57"/>
      <c r="F259" s="57"/>
      <c r="G259" s="57"/>
      <c r="H259" s="57"/>
      <c r="I259" s="57"/>
      <c r="J259" s="57"/>
      <c r="K259" s="45"/>
      <c r="L259" s="58"/>
      <c r="M259" s="56"/>
      <c r="N259" s="57"/>
      <c r="O259" s="57"/>
      <c r="P259" s="57"/>
      <c r="Q259" s="57"/>
      <c r="R259" s="57"/>
      <c r="S259" s="57"/>
      <c r="T259" s="45"/>
      <c r="U259" s="71"/>
      <c r="V259" s="57"/>
      <c r="W259" s="57"/>
      <c r="X259" s="57"/>
      <c r="Y259" s="57"/>
      <c r="Z259" s="57"/>
      <c r="AA259" s="57"/>
      <c r="AB259" s="57"/>
      <c r="AC259" s="57"/>
      <c r="AD259" s="71"/>
      <c r="AE259" s="57"/>
      <c r="AF259" s="57"/>
      <c r="AG259" s="57"/>
      <c r="AH259" s="57"/>
      <c r="AI259" s="57"/>
      <c r="AJ259" s="57"/>
      <c r="AK259" s="57"/>
      <c r="AL259" s="57"/>
      <c r="AM259" s="71"/>
      <c r="AN259" s="57"/>
      <c r="AO259" s="57"/>
      <c r="AP259" s="57"/>
      <c r="AQ259" s="57"/>
      <c r="AR259" s="57"/>
      <c r="AS259" s="57"/>
      <c r="AT259" s="57"/>
      <c r="AU259" s="57"/>
      <c r="AV259" s="71"/>
      <c r="AW259" s="57"/>
      <c r="AX259" s="55"/>
      <c r="AY259" s="55"/>
      <c r="AZ259" s="55"/>
      <c r="BA259" s="55"/>
      <c r="BB259" s="55"/>
      <c r="BC259" s="55"/>
      <c r="BD259" s="57"/>
    </row>
    <row r="260" spans="1:56">
      <c r="A260" s="12" t="str">
        <f>Roster!A260</f>
        <v/>
      </c>
      <c r="B260" s="28">
        <f>Roster!C260</f>
        <v>0</v>
      </c>
      <c r="C260" s="55"/>
      <c r="D260" s="56"/>
      <c r="E260" s="57"/>
      <c r="F260" s="57"/>
      <c r="G260" s="57"/>
      <c r="H260" s="57"/>
      <c r="I260" s="57"/>
      <c r="J260" s="57"/>
      <c r="K260" s="45"/>
      <c r="L260" s="58"/>
      <c r="M260" s="56"/>
      <c r="N260" s="57"/>
      <c r="O260" s="57"/>
      <c r="P260" s="57"/>
      <c r="Q260" s="57"/>
      <c r="R260" s="57"/>
      <c r="S260" s="57"/>
      <c r="T260" s="45"/>
      <c r="U260" s="71"/>
      <c r="V260" s="57"/>
      <c r="W260" s="57"/>
      <c r="X260" s="57"/>
      <c r="Y260" s="57"/>
      <c r="Z260" s="57"/>
      <c r="AA260" s="57"/>
      <c r="AB260" s="57"/>
      <c r="AC260" s="57"/>
      <c r="AD260" s="71"/>
      <c r="AE260" s="57"/>
      <c r="AF260" s="57"/>
      <c r="AG260" s="57"/>
      <c r="AH260" s="57"/>
      <c r="AI260" s="57"/>
      <c r="AJ260" s="57"/>
      <c r="AK260" s="57"/>
      <c r="AL260" s="57"/>
      <c r="AM260" s="71"/>
      <c r="AN260" s="57"/>
      <c r="AO260" s="57"/>
      <c r="AP260" s="57"/>
      <c r="AQ260" s="57"/>
      <c r="AR260" s="57"/>
      <c r="AS260" s="57"/>
      <c r="AT260" s="57"/>
      <c r="AU260" s="57"/>
      <c r="AV260" s="71"/>
      <c r="AW260" s="57"/>
      <c r="AX260" s="55"/>
      <c r="AY260" s="55"/>
      <c r="AZ260" s="55"/>
      <c r="BA260" s="55"/>
      <c r="BB260" s="55"/>
      <c r="BC260" s="55"/>
      <c r="BD260" s="57"/>
    </row>
    <row r="261" spans="1:56">
      <c r="A261" s="12" t="str">
        <f>Roster!A261</f>
        <v/>
      </c>
      <c r="B261" s="28">
        <f>Roster!C261</f>
        <v>0</v>
      </c>
      <c r="C261" s="55"/>
      <c r="D261" s="56"/>
      <c r="E261" s="57"/>
      <c r="F261" s="57"/>
      <c r="G261" s="57"/>
      <c r="H261" s="57"/>
      <c r="I261" s="57"/>
      <c r="J261" s="57"/>
      <c r="K261" s="45"/>
      <c r="L261" s="58"/>
      <c r="M261" s="56"/>
      <c r="N261" s="57"/>
      <c r="O261" s="57"/>
      <c r="P261" s="57"/>
      <c r="Q261" s="57"/>
      <c r="R261" s="57"/>
      <c r="S261" s="57"/>
      <c r="T261" s="45"/>
      <c r="U261" s="71"/>
      <c r="V261" s="57"/>
      <c r="W261" s="57"/>
      <c r="X261" s="57"/>
      <c r="Y261" s="57"/>
      <c r="Z261" s="57"/>
      <c r="AA261" s="57"/>
      <c r="AB261" s="57"/>
      <c r="AC261" s="57"/>
      <c r="AD261" s="71"/>
      <c r="AE261" s="57"/>
      <c r="AF261" s="57"/>
      <c r="AG261" s="57"/>
      <c r="AH261" s="57"/>
      <c r="AI261" s="57"/>
      <c r="AJ261" s="57"/>
      <c r="AK261" s="57"/>
      <c r="AL261" s="57"/>
      <c r="AM261" s="71"/>
      <c r="AN261" s="57"/>
      <c r="AO261" s="57"/>
      <c r="AP261" s="57"/>
      <c r="AQ261" s="57"/>
      <c r="AR261" s="57"/>
      <c r="AS261" s="57"/>
      <c r="AT261" s="57"/>
      <c r="AU261" s="57"/>
      <c r="AV261" s="71"/>
      <c r="AW261" s="57"/>
      <c r="AX261" s="55"/>
      <c r="AY261" s="55"/>
      <c r="AZ261" s="55"/>
      <c r="BA261" s="55"/>
      <c r="BB261" s="55"/>
      <c r="BC261" s="55"/>
      <c r="BD261" s="57"/>
    </row>
    <row r="262" spans="1:56">
      <c r="A262" s="12" t="str">
        <f>Roster!A262</f>
        <v/>
      </c>
      <c r="B262" s="28">
        <f>Roster!C262</f>
        <v>0</v>
      </c>
      <c r="C262" s="55"/>
      <c r="D262" s="56"/>
      <c r="E262" s="57"/>
      <c r="F262" s="57"/>
      <c r="G262" s="57"/>
      <c r="H262" s="57"/>
      <c r="I262" s="57"/>
      <c r="J262" s="57"/>
      <c r="K262" s="45"/>
      <c r="L262" s="58"/>
      <c r="M262" s="56"/>
      <c r="N262" s="57"/>
      <c r="O262" s="57"/>
      <c r="P262" s="57"/>
      <c r="Q262" s="57"/>
      <c r="R262" s="57"/>
      <c r="S262" s="57"/>
      <c r="T262" s="45"/>
      <c r="U262" s="71"/>
      <c r="V262" s="57"/>
      <c r="W262" s="57"/>
      <c r="X262" s="57"/>
      <c r="Y262" s="57"/>
      <c r="Z262" s="57"/>
      <c r="AA262" s="57"/>
      <c r="AB262" s="57"/>
      <c r="AC262" s="57"/>
      <c r="AD262" s="71"/>
      <c r="AE262" s="57"/>
      <c r="AF262" s="57"/>
      <c r="AG262" s="57"/>
      <c r="AH262" s="57"/>
      <c r="AI262" s="57"/>
      <c r="AJ262" s="57"/>
      <c r="AK262" s="57"/>
      <c r="AL262" s="57"/>
      <c r="AM262" s="71"/>
      <c r="AN262" s="57"/>
      <c r="AO262" s="57"/>
      <c r="AP262" s="57"/>
      <c r="AQ262" s="57"/>
      <c r="AR262" s="57"/>
      <c r="AS262" s="57"/>
      <c r="AT262" s="57"/>
      <c r="AU262" s="57"/>
      <c r="AV262" s="71"/>
      <c r="AW262" s="57"/>
      <c r="AX262" s="55"/>
      <c r="AY262" s="55"/>
      <c r="AZ262" s="55"/>
      <c r="BA262" s="55"/>
      <c r="BB262" s="55"/>
      <c r="BC262" s="55"/>
      <c r="BD262" s="57"/>
    </row>
    <row r="263" spans="1:56">
      <c r="A263" s="12" t="str">
        <f>Roster!A263</f>
        <v/>
      </c>
      <c r="B263" s="28">
        <f>Roster!C263</f>
        <v>0</v>
      </c>
      <c r="C263" s="55"/>
      <c r="D263" s="56"/>
      <c r="E263" s="57"/>
      <c r="F263" s="57"/>
      <c r="G263" s="57"/>
      <c r="H263" s="57"/>
      <c r="I263" s="57"/>
      <c r="J263" s="57"/>
      <c r="K263" s="45"/>
      <c r="L263" s="58"/>
      <c r="M263" s="56"/>
      <c r="N263" s="57"/>
      <c r="O263" s="57"/>
      <c r="P263" s="57"/>
      <c r="Q263" s="57"/>
      <c r="R263" s="57"/>
      <c r="S263" s="57"/>
      <c r="T263" s="45"/>
      <c r="U263" s="71"/>
      <c r="V263" s="57"/>
      <c r="W263" s="57"/>
      <c r="X263" s="57"/>
      <c r="Y263" s="57"/>
      <c r="Z263" s="57"/>
      <c r="AA263" s="57"/>
      <c r="AB263" s="57"/>
      <c r="AC263" s="57"/>
      <c r="AD263" s="71"/>
      <c r="AE263" s="57"/>
      <c r="AF263" s="57"/>
      <c r="AG263" s="57"/>
      <c r="AH263" s="57"/>
      <c r="AI263" s="57"/>
      <c r="AJ263" s="57"/>
      <c r="AK263" s="57"/>
      <c r="AL263" s="57"/>
      <c r="AM263" s="71"/>
      <c r="AN263" s="57"/>
      <c r="AO263" s="57"/>
      <c r="AP263" s="57"/>
      <c r="AQ263" s="57"/>
      <c r="AR263" s="57"/>
      <c r="AS263" s="57"/>
      <c r="AT263" s="57"/>
      <c r="AU263" s="57"/>
      <c r="AV263" s="71"/>
      <c r="AW263" s="57"/>
      <c r="AX263" s="55"/>
      <c r="AY263" s="55"/>
      <c r="AZ263" s="55"/>
      <c r="BA263" s="55"/>
      <c r="BB263" s="55"/>
      <c r="BC263" s="55"/>
      <c r="BD263" s="57"/>
    </row>
    <row r="264" spans="1:56">
      <c r="A264" s="12" t="str">
        <f>Roster!A264</f>
        <v/>
      </c>
      <c r="B264" s="28">
        <f>Roster!C264</f>
        <v>0</v>
      </c>
      <c r="C264" s="55"/>
      <c r="D264" s="56"/>
      <c r="E264" s="57"/>
      <c r="F264" s="57"/>
      <c r="G264" s="57"/>
      <c r="H264" s="57"/>
      <c r="I264" s="57"/>
      <c r="J264" s="57"/>
      <c r="K264" s="45"/>
      <c r="L264" s="58"/>
      <c r="M264" s="56"/>
      <c r="N264" s="57"/>
      <c r="O264" s="57"/>
      <c r="P264" s="57"/>
      <c r="Q264" s="57"/>
      <c r="R264" s="57"/>
      <c r="S264" s="57"/>
      <c r="T264" s="45"/>
      <c r="U264" s="71"/>
      <c r="V264" s="57"/>
      <c r="W264" s="57"/>
      <c r="X264" s="57"/>
      <c r="Y264" s="57"/>
      <c r="Z264" s="57"/>
      <c r="AA264" s="57"/>
      <c r="AB264" s="57"/>
      <c r="AC264" s="57"/>
      <c r="AD264" s="71"/>
      <c r="AE264" s="57"/>
      <c r="AF264" s="57"/>
      <c r="AG264" s="57"/>
      <c r="AH264" s="57"/>
      <c r="AI264" s="57"/>
      <c r="AJ264" s="57"/>
      <c r="AK264" s="57"/>
      <c r="AL264" s="57"/>
      <c r="AM264" s="71"/>
      <c r="AN264" s="57"/>
      <c r="AO264" s="57"/>
      <c r="AP264" s="57"/>
      <c r="AQ264" s="57"/>
      <c r="AR264" s="57"/>
      <c r="AS264" s="57"/>
      <c r="AT264" s="57"/>
      <c r="AU264" s="57"/>
      <c r="AV264" s="71"/>
      <c r="AW264" s="57"/>
      <c r="AX264" s="55"/>
      <c r="AY264" s="55"/>
      <c r="AZ264" s="55"/>
      <c r="BA264" s="55"/>
      <c r="BB264" s="55"/>
      <c r="BC264" s="55"/>
      <c r="BD264" s="57"/>
    </row>
    <row r="265" spans="1:56">
      <c r="A265" s="12" t="str">
        <f>Roster!A265</f>
        <v/>
      </c>
      <c r="B265" s="28">
        <f>Roster!C265</f>
        <v>0</v>
      </c>
      <c r="C265" s="55"/>
      <c r="D265" s="56"/>
      <c r="E265" s="57"/>
      <c r="F265" s="57"/>
      <c r="G265" s="57"/>
      <c r="H265" s="57"/>
      <c r="I265" s="57"/>
      <c r="J265" s="57"/>
      <c r="K265" s="45"/>
      <c r="L265" s="58"/>
      <c r="M265" s="56"/>
      <c r="N265" s="57"/>
      <c r="O265" s="57"/>
      <c r="P265" s="57"/>
      <c r="Q265" s="57"/>
      <c r="R265" s="57"/>
      <c r="S265" s="57"/>
      <c r="T265" s="45"/>
      <c r="U265" s="71"/>
      <c r="V265" s="57"/>
      <c r="W265" s="57"/>
      <c r="X265" s="57"/>
      <c r="Y265" s="57"/>
      <c r="Z265" s="57"/>
      <c r="AA265" s="57"/>
      <c r="AB265" s="57"/>
      <c r="AC265" s="57"/>
      <c r="AD265" s="71"/>
      <c r="AE265" s="57"/>
      <c r="AF265" s="57"/>
      <c r="AG265" s="57"/>
      <c r="AH265" s="57"/>
      <c r="AI265" s="57"/>
      <c r="AJ265" s="57"/>
      <c r="AK265" s="57"/>
      <c r="AL265" s="57"/>
      <c r="AM265" s="71"/>
      <c r="AN265" s="57"/>
      <c r="AO265" s="57"/>
      <c r="AP265" s="57"/>
      <c r="AQ265" s="57"/>
      <c r="AR265" s="57"/>
      <c r="AS265" s="57"/>
      <c r="AT265" s="57"/>
      <c r="AU265" s="57"/>
      <c r="AV265" s="71"/>
      <c r="AW265" s="57"/>
      <c r="AX265" s="55"/>
      <c r="AY265" s="55"/>
      <c r="AZ265" s="55"/>
      <c r="BA265" s="55"/>
      <c r="BB265" s="55"/>
      <c r="BC265" s="55"/>
      <c r="BD265" s="57"/>
    </row>
    <row r="266" spans="1:56">
      <c r="A266" s="12" t="str">
        <f>Roster!A266</f>
        <v/>
      </c>
      <c r="B266" s="28">
        <f>Roster!C266</f>
        <v>0</v>
      </c>
      <c r="C266" s="55"/>
      <c r="D266" s="56"/>
      <c r="E266" s="57"/>
      <c r="F266" s="57"/>
      <c r="G266" s="57"/>
      <c r="H266" s="57"/>
      <c r="I266" s="57"/>
      <c r="J266" s="57"/>
      <c r="K266" s="45"/>
      <c r="L266" s="58"/>
      <c r="M266" s="56"/>
      <c r="N266" s="57"/>
      <c r="O266" s="57"/>
      <c r="P266" s="57"/>
      <c r="Q266" s="57"/>
      <c r="R266" s="57"/>
      <c r="S266" s="57"/>
      <c r="T266" s="45"/>
      <c r="U266" s="71"/>
      <c r="V266" s="57"/>
      <c r="W266" s="57"/>
      <c r="X266" s="57"/>
      <c r="Y266" s="57"/>
      <c r="Z266" s="57"/>
      <c r="AA266" s="57"/>
      <c r="AB266" s="57"/>
      <c r="AC266" s="57"/>
      <c r="AD266" s="71"/>
      <c r="AE266" s="57"/>
      <c r="AF266" s="57"/>
      <c r="AG266" s="57"/>
      <c r="AH266" s="57"/>
      <c r="AI266" s="57"/>
      <c r="AJ266" s="57"/>
      <c r="AK266" s="57"/>
      <c r="AL266" s="57"/>
      <c r="AM266" s="71"/>
      <c r="AN266" s="57"/>
      <c r="AO266" s="57"/>
      <c r="AP266" s="57"/>
      <c r="AQ266" s="57"/>
      <c r="AR266" s="57"/>
      <c r="AS266" s="57"/>
      <c r="AT266" s="57"/>
      <c r="AU266" s="57"/>
      <c r="AV266" s="71"/>
      <c r="AW266" s="57"/>
      <c r="AX266" s="55"/>
      <c r="AY266" s="55"/>
      <c r="AZ266" s="55"/>
      <c r="BA266" s="55"/>
      <c r="BB266" s="55"/>
      <c r="BC266" s="55"/>
      <c r="BD266" s="57"/>
    </row>
    <row r="267" spans="1:56">
      <c r="A267" s="12" t="str">
        <f>Roster!A267</f>
        <v/>
      </c>
      <c r="B267" s="28">
        <f>Roster!C267</f>
        <v>0</v>
      </c>
      <c r="C267" s="55"/>
      <c r="D267" s="56"/>
      <c r="E267" s="57"/>
      <c r="F267" s="57"/>
      <c r="G267" s="57"/>
      <c r="H267" s="57"/>
      <c r="I267" s="57"/>
      <c r="J267" s="57"/>
      <c r="K267" s="45"/>
      <c r="L267" s="58"/>
      <c r="M267" s="56"/>
      <c r="N267" s="57"/>
      <c r="O267" s="57"/>
      <c r="P267" s="57"/>
      <c r="Q267" s="57"/>
      <c r="R267" s="57"/>
      <c r="S267" s="57"/>
      <c r="T267" s="45"/>
      <c r="U267" s="71"/>
      <c r="V267" s="57"/>
      <c r="W267" s="57"/>
      <c r="X267" s="57"/>
      <c r="Y267" s="57"/>
      <c r="Z267" s="57"/>
      <c r="AA267" s="57"/>
      <c r="AB267" s="57"/>
      <c r="AC267" s="57"/>
      <c r="AD267" s="71"/>
      <c r="AE267" s="57"/>
      <c r="AF267" s="57"/>
      <c r="AG267" s="57"/>
      <c r="AH267" s="57"/>
      <c r="AI267" s="57"/>
      <c r="AJ267" s="57"/>
      <c r="AK267" s="57"/>
      <c r="AL267" s="57"/>
      <c r="AM267" s="71"/>
      <c r="AN267" s="57"/>
      <c r="AO267" s="57"/>
      <c r="AP267" s="57"/>
      <c r="AQ267" s="57"/>
      <c r="AR267" s="57"/>
      <c r="AS267" s="57"/>
      <c r="AT267" s="57"/>
      <c r="AU267" s="57"/>
      <c r="AV267" s="71"/>
      <c r="AW267" s="57"/>
      <c r="AX267" s="55"/>
      <c r="AY267" s="55"/>
      <c r="AZ267" s="55"/>
      <c r="BA267" s="55"/>
      <c r="BB267" s="55"/>
      <c r="BC267" s="55"/>
      <c r="BD267" s="57"/>
    </row>
    <row r="268" spans="1:56">
      <c r="A268" s="12" t="str">
        <f>Roster!A268</f>
        <v/>
      </c>
      <c r="B268" s="28">
        <f>Roster!C268</f>
        <v>0</v>
      </c>
      <c r="C268" s="55"/>
      <c r="D268" s="56"/>
      <c r="E268" s="57"/>
      <c r="F268" s="57"/>
      <c r="G268" s="57"/>
      <c r="H268" s="57"/>
      <c r="I268" s="57"/>
      <c r="J268" s="57"/>
      <c r="K268" s="45"/>
      <c r="L268" s="58"/>
      <c r="M268" s="56"/>
      <c r="N268" s="57"/>
      <c r="O268" s="57"/>
      <c r="P268" s="57"/>
      <c r="Q268" s="57"/>
      <c r="R268" s="57"/>
      <c r="S268" s="57"/>
      <c r="T268" s="45"/>
      <c r="U268" s="71"/>
      <c r="V268" s="57"/>
      <c r="W268" s="57"/>
      <c r="X268" s="57"/>
      <c r="Y268" s="57"/>
      <c r="Z268" s="57"/>
      <c r="AA268" s="57"/>
      <c r="AB268" s="57"/>
      <c r="AC268" s="57"/>
      <c r="AD268" s="71"/>
      <c r="AE268" s="57"/>
      <c r="AF268" s="57"/>
      <c r="AG268" s="57"/>
      <c r="AH268" s="57"/>
      <c r="AI268" s="57"/>
      <c r="AJ268" s="57"/>
      <c r="AK268" s="57"/>
      <c r="AL268" s="57"/>
      <c r="AM268" s="71"/>
      <c r="AN268" s="57"/>
      <c r="AO268" s="57"/>
      <c r="AP268" s="57"/>
      <c r="AQ268" s="57"/>
      <c r="AR268" s="57"/>
      <c r="AS268" s="57"/>
      <c r="AT268" s="57"/>
      <c r="AU268" s="57"/>
      <c r="AV268" s="71"/>
      <c r="AW268" s="57"/>
      <c r="AX268" s="55"/>
      <c r="AY268" s="55"/>
      <c r="AZ268" s="55"/>
      <c r="BA268" s="55"/>
      <c r="BB268" s="55"/>
      <c r="BC268" s="55"/>
      <c r="BD268" s="57"/>
    </row>
    <row r="269" spans="1:56">
      <c r="A269" s="12" t="str">
        <f>Roster!A269</f>
        <v/>
      </c>
      <c r="B269" s="28">
        <f>Roster!C269</f>
        <v>0</v>
      </c>
      <c r="C269" s="55"/>
      <c r="D269" s="56"/>
      <c r="E269" s="57"/>
      <c r="F269" s="57"/>
      <c r="G269" s="57"/>
      <c r="H269" s="57"/>
      <c r="I269" s="57"/>
      <c r="J269" s="57"/>
      <c r="K269" s="45"/>
      <c r="L269" s="58"/>
      <c r="M269" s="56"/>
      <c r="N269" s="57"/>
      <c r="O269" s="57"/>
      <c r="P269" s="57"/>
      <c r="Q269" s="57"/>
      <c r="R269" s="57"/>
      <c r="S269" s="57"/>
      <c r="T269" s="45"/>
      <c r="U269" s="71"/>
      <c r="V269" s="57"/>
      <c r="W269" s="57"/>
      <c r="X269" s="57"/>
      <c r="Y269" s="57"/>
      <c r="Z269" s="57"/>
      <c r="AA269" s="57"/>
      <c r="AB269" s="57"/>
      <c r="AC269" s="57"/>
      <c r="AD269" s="71"/>
      <c r="AE269" s="57"/>
      <c r="AF269" s="57"/>
      <c r="AG269" s="57"/>
      <c r="AH269" s="57"/>
      <c r="AI269" s="57"/>
      <c r="AJ269" s="57"/>
      <c r="AK269" s="57"/>
      <c r="AL269" s="57"/>
      <c r="AM269" s="71"/>
      <c r="AN269" s="57"/>
      <c r="AO269" s="57"/>
      <c r="AP269" s="57"/>
      <c r="AQ269" s="57"/>
      <c r="AR269" s="57"/>
      <c r="AS269" s="57"/>
      <c r="AT269" s="57"/>
      <c r="AU269" s="57"/>
      <c r="AV269" s="71"/>
      <c r="AW269" s="57"/>
      <c r="AX269" s="55"/>
      <c r="AY269" s="55"/>
      <c r="AZ269" s="55"/>
      <c r="BA269" s="55"/>
      <c r="BB269" s="55"/>
      <c r="BC269" s="55"/>
      <c r="BD269" s="57"/>
    </row>
    <row r="270" spans="1:56">
      <c r="A270" s="12" t="str">
        <f>Roster!A270</f>
        <v/>
      </c>
      <c r="B270" s="28">
        <f>Roster!C270</f>
        <v>0</v>
      </c>
      <c r="C270" s="55"/>
      <c r="D270" s="56"/>
      <c r="E270" s="57"/>
      <c r="F270" s="57"/>
      <c r="G270" s="57"/>
      <c r="H270" s="57"/>
      <c r="I270" s="57"/>
      <c r="J270" s="57"/>
      <c r="K270" s="45"/>
      <c r="L270" s="58"/>
      <c r="M270" s="56"/>
      <c r="N270" s="57"/>
      <c r="O270" s="57"/>
      <c r="P270" s="57"/>
      <c r="Q270" s="57"/>
      <c r="R270" s="57"/>
      <c r="S270" s="57"/>
      <c r="T270" s="45"/>
      <c r="U270" s="71"/>
      <c r="V270" s="57"/>
      <c r="W270" s="57"/>
      <c r="X270" s="57"/>
      <c r="Y270" s="57"/>
      <c r="Z270" s="57"/>
      <c r="AA270" s="57"/>
      <c r="AB270" s="57"/>
      <c r="AC270" s="57"/>
      <c r="AD270" s="71"/>
      <c r="AE270" s="57"/>
      <c r="AF270" s="57"/>
      <c r="AG270" s="57"/>
      <c r="AH270" s="57"/>
      <c r="AI270" s="57"/>
      <c r="AJ270" s="57"/>
      <c r="AK270" s="57"/>
      <c r="AL270" s="57"/>
      <c r="AM270" s="71"/>
      <c r="AN270" s="57"/>
      <c r="AO270" s="57"/>
      <c r="AP270" s="57"/>
      <c r="AQ270" s="57"/>
      <c r="AR270" s="57"/>
      <c r="AS270" s="57"/>
      <c r="AT270" s="57"/>
      <c r="AU270" s="57"/>
      <c r="AV270" s="71"/>
      <c r="AW270" s="57"/>
      <c r="AX270" s="55"/>
      <c r="AY270" s="55"/>
      <c r="AZ270" s="55"/>
      <c r="BA270" s="55"/>
      <c r="BB270" s="55"/>
      <c r="BC270" s="55"/>
      <c r="BD270" s="57"/>
    </row>
    <row r="271" spans="1:56">
      <c r="A271" s="12" t="str">
        <f>Roster!A271</f>
        <v/>
      </c>
      <c r="B271" s="28">
        <f>Roster!C271</f>
        <v>0</v>
      </c>
      <c r="C271" s="55"/>
      <c r="D271" s="56"/>
      <c r="E271" s="57"/>
      <c r="F271" s="57"/>
      <c r="G271" s="57"/>
      <c r="H271" s="57"/>
      <c r="I271" s="57"/>
      <c r="J271" s="57"/>
      <c r="K271" s="45"/>
      <c r="L271" s="58"/>
      <c r="M271" s="56"/>
      <c r="N271" s="57"/>
      <c r="O271" s="57"/>
      <c r="P271" s="57"/>
      <c r="Q271" s="57"/>
      <c r="R271" s="57"/>
      <c r="S271" s="57"/>
      <c r="T271" s="45"/>
      <c r="U271" s="71"/>
      <c r="V271" s="57"/>
      <c r="W271" s="57"/>
      <c r="X271" s="57"/>
      <c r="Y271" s="57"/>
      <c r="Z271" s="57"/>
      <c r="AA271" s="57"/>
      <c r="AB271" s="57"/>
      <c r="AC271" s="57"/>
      <c r="AD271" s="71"/>
      <c r="AE271" s="57"/>
      <c r="AF271" s="57"/>
      <c r="AG271" s="57"/>
      <c r="AH271" s="57"/>
      <c r="AI271" s="57"/>
      <c r="AJ271" s="57"/>
      <c r="AK271" s="57"/>
      <c r="AL271" s="57"/>
      <c r="AM271" s="71"/>
      <c r="AN271" s="57"/>
      <c r="AO271" s="57"/>
      <c r="AP271" s="57"/>
      <c r="AQ271" s="57"/>
      <c r="AR271" s="57"/>
      <c r="AS271" s="57"/>
      <c r="AT271" s="57"/>
      <c r="AU271" s="57"/>
      <c r="AV271" s="71"/>
      <c r="AW271" s="57"/>
      <c r="AX271" s="55"/>
      <c r="AY271" s="55"/>
      <c r="AZ271" s="55"/>
      <c r="BA271" s="55"/>
      <c r="BB271" s="55"/>
      <c r="BC271" s="55"/>
      <c r="BD271" s="57"/>
    </row>
    <row r="272" spans="1:56">
      <c r="A272" s="12" t="str">
        <f>Roster!A272</f>
        <v/>
      </c>
      <c r="B272" s="28">
        <f>Roster!C272</f>
        <v>0</v>
      </c>
      <c r="C272" s="55"/>
      <c r="D272" s="56"/>
      <c r="E272" s="57"/>
      <c r="F272" s="57"/>
      <c r="G272" s="57"/>
      <c r="H272" s="57"/>
      <c r="I272" s="57"/>
      <c r="J272" s="57"/>
      <c r="K272" s="45"/>
      <c r="L272" s="58"/>
      <c r="M272" s="56"/>
      <c r="N272" s="57"/>
      <c r="O272" s="57"/>
      <c r="P272" s="57"/>
      <c r="Q272" s="57"/>
      <c r="R272" s="57"/>
      <c r="S272" s="57"/>
      <c r="T272" s="45"/>
      <c r="U272" s="71"/>
      <c r="V272" s="57"/>
      <c r="W272" s="57"/>
      <c r="X272" s="57"/>
      <c r="Y272" s="57"/>
      <c r="Z272" s="57"/>
      <c r="AA272" s="57"/>
      <c r="AB272" s="57"/>
      <c r="AC272" s="57"/>
      <c r="AD272" s="71"/>
      <c r="AE272" s="57"/>
      <c r="AF272" s="57"/>
      <c r="AG272" s="57"/>
      <c r="AH272" s="57"/>
      <c r="AI272" s="57"/>
      <c r="AJ272" s="57"/>
      <c r="AK272" s="57"/>
      <c r="AL272" s="57"/>
      <c r="AM272" s="71"/>
      <c r="AN272" s="57"/>
      <c r="AO272" s="57"/>
      <c r="AP272" s="57"/>
      <c r="AQ272" s="57"/>
      <c r="AR272" s="57"/>
      <c r="AS272" s="57"/>
      <c r="AT272" s="57"/>
      <c r="AU272" s="57"/>
      <c r="AV272" s="71"/>
      <c r="AW272" s="57"/>
      <c r="AX272" s="55"/>
      <c r="AY272" s="55"/>
      <c r="AZ272" s="55"/>
      <c r="BA272" s="55"/>
      <c r="BB272" s="55"/>
      <c r="BC272" s="55"/>
      <c r="BD272" s="57"/>
    </row>
    <row r="273" spans="1:56">
      <c r="A273" s="12" t="str">
        <f>Roster!A273</f>
        <v/>
      </c>
      <c r="B273" s="28">
        <f>Roster!C273</f>
        <v>0</v>
      </c>
      <c r="C273" s="55"/>
      <c r="D273" s="56"/>
      <c r="E273" s="57"/>
      <c r="F273" s="57"/>
      <c r="G273" s="57"/>
      <c r="H273" s="57"/>
      <c r="I273" s="57"/>
      <c r="J273" s="57"/>
      <c r="K273" s="45"/>
      <c r="L273" s="58"/>
      <c r="M273" s="56"/>
      <c r="N273" s="57"/>
      <c r="O273" s="57"/>
      <c r="P273" s="57"/>
      <c r="Q273" s="57"/>
      <c r="R273" s="57"/>
      <c r="S273" s="57"/>
      <c r="T273" s="45"/>
      <c r="U273" s="71"/>
      <c r="V273" s="57"/>
      <c r="W273" s="57"/>
      <c r="X273" s="57"/>
      <c r="Y273" s="57"/>
      <c r="Z273" s="57"/>
      <c r="AA273" s="57"/>
      <c r="AB273" s="57"/>
      <c r="AC273" s="57"/>
      <c r="AD273" s="71"/>
      <c r="AE273" s="57"/>
      <c r="AF273" s="57"/>
      <c r="AG273" s="57"/>
      <c r="AH273" s="57"/>
      <c r="AI273" s="57"/>
      <c r="AJ273" s="57"/>
      <c r="AK273" s="57"/>
      <c r="AL273" s="57"/>
      <c r="AM273" s="71"/>
      <c r="AN273" s="57"/>
      <c r="AO273" s="57"/>
      <c r="AP273" s="57"/>
      <c r="AQ273" s="57"/>
      <c r="AR273" s="57"/>
      <c r="AS273" s="57"/>
      <c r="AT273" s="57"/>
      <c r="AU273" s="57"/>
      <c r="AV273" s="71"/>
      <c r="AW273" s="57"/>
      <c r="AX273" s="55"/>
      <c r="AY273" s="55"/>
      <c r="AZ273" s="55"/>
      <c r="BA273" s="55"/>
      <c r="BB273" s="55"/>
      <c r="BC273" s="55"/>
      <c r="BD273" s="57"/>
    </row>
    <row r="274" spans="1:56">
      <c r="A274" s="12" t="str">
        <f>Roster!A274</f>
        <v/>
      </c>
      <c r="B274" s="28">
        <f>Roster!C274</f>
        <v>0</v>
      </c>
      <c r="C274" s="55"/>
      <c r="D274" s="56"/>
      <c r="E274" s="57"/>
      <c r="F274" s="57"/>
      <c r="G274" s="57"/>
      <c r="H274" s="57"/>
      <c r="I274" s="57"/>
      <c r="J274" s="57"/>
      <c r="K274" s="45"/>
      <c r="L274" s="58"/>
      <c r="M274" s="56"/>
      <c r="N274" s="57"/>
      <c r="O274" s="57"/>
      <c r="P274" s="57"/>
      <c r="Q274" s="57"/>
      <c r="R274" s="57"/>
      <c r="S274" s="57"/>
      <c r="T274" s="45"/>
      <c r="U274" s="71"/>
      <c r="V274" s="57"/>
      <c r="W274" s="57"/>
      <c r="X274" s="57"/>
      <c r="Y274" s="57"/>
      <c r="Z274" s="57"/>
      <c r="AA274" s="57"/>
      <c r="AB274" s="57"/>
      <c r="AC274" s="57"/>
      <c r="AD274" s="71"/>
      <c r="AE274" s="57"/>
      <c r="AF274" s="57"/>
      <c r="AG274" s="57"/>
      <c r="AH274" s="57"/>
      <c r="AI274" s="57"/>
      <c r="AJ274" s="57"/>
      <c r="AK274" s="57"/>
      <c r="AL274" s="57"/>
      <c r="AM274" s="71"/>
      <c r="AN274" s="57"/>
      <c r="AO274" s="57"/>
      <c r="AP274" s="57"/>
      <c r="AQ274" s="57"/>
      <c r="AR274" s="57"/>
      <c r="AS274" s="57"/>
      <c r="AT274" s="57"/>
      <c r="AU274" s="57"/>
      <c r="AV274" s="71"/>
      <c r="AW274" s="57"/>
      <c r="AX274" s="55"/>
      <c r="AY274" s="55"/>
      <c r="AZ274" s="55"/>
      <c r="BA274" s="55"/>
      <c r="BB274" s="55"/>
      <c r="BC274" s="55"/>
      <c r="BD274" s="57"/>
    </row>
    <row r="275" spans="1:56">
      <c r="A275" s="12" t="str">
        <f>Roster!A275</f>
        <v/>
      </c>
      <c r="B275" s="28">
        <f>Roster!C275</f>
        <v>0</v>
      </c>
      <c r="C275" s="55"/>
      <c r="D275" s="56"/>
      <c r="E275" s="57"/>
      <c r="F275" s="57"/>
      <c r="G275" s="57"/>
      <c r="H275" s="57"/>
      <c r="I275" s="57"/>
      <c r="J275" s="57"/>
      <c r="K275" s="45"/>
      <c r="L275" s="58"/>
      <c r="M275" s="56"/>
      <c r="N275" s="57"/>
      <c r="O275" s="57"/>
      <c r="P275" s="57"/>
      <c r="Q275" s="57"/>
      <c r="R275" s="57"/>
      <c r="S275" s="57"/>
      <c r="T275" s="45"/>
      <c r="U275" s="71"/>
      <c r="V275" s="57"/>
      <c r="W275" s="57"/>
      <c r="X275" s="57"/>
      <c r="Y275" s="57"/>
      <c r="Z275" s="57"/>
      <c r="AA275" s="57"/>
      <c r="AB275" s="57"/>
      <c r="AC275" s="57"/>
      <c r="AD275" s="71"/>
      <c r="AE275" s="57"/>
      <c r="AF275" s="57"/>
      <c r="AG275" s="57"/>
      <c r="AH275" s="57"/>
      <c r="AI275" s="57"/>
      <c r="AJ275" s="57"/>
      <c r="AK275" s="57"/>
      <c r="AL275" s="57"/>
      <c r="AM275" s="71"/>
      <c r="AN275" s="57"/>
      <c r="AO275" s="57"/>
      <c r="AP275" s="57"/>
      <c r="AQ275" s="57"/>
      <c r="AR275" s="57"/>
      <c r="AS275" s="57"/>
      <c r="AT275" s="57"/>
      <c r="AU275" s="57"/>
      <c r="AV275" s="71"/>
      <c r="AW275" s="57"/>
      <c r="AX275" s="55"/>
      <c r="AY275" s="55"/>
      <c r="AZ275" s="55"/>
      <c r="BA275" s="55"/>
      <c r="BB275" s="55"/>
      <c r="BC275" s="55"/>
      <c r="BD275" s="57"/>
    </row>
    <row r="276" spans="1:56">
      <c r="A276" s="12" t="str">
        <f>Roster!A276</f>
        <v/>
      </c>
      <c r="B276" s="28">
        <f>Roster!C276</f>
        <v>0</v>
      </c>
      <c r="C276" s="55"/>
      <c r="D276" s="56"/>
      <c r="E276" s="57"/>
      <c r="F276" s="57"/>
      <c r="G276" s="57"/>
      <c r="H276" s="57"/>
      <c r="I276" s="57"/>
      <c r="J276" s="57"/>
      <c r="K276" s="45"/>
      <c r="L276" s="58"/>
      <c r="M276" s="56"/>
      <c r="N276" s="57"/>
      <c r="O276" s="57"/>
      <c r="P276" s="57"/>
      <c r="Q276" s="57"/>
      <c r="R276" s="57"/>
      <c r="S276" s="57"/>
      <c r="T276" s="45"/>
      <c r="U276" s="71"/>
      <c r="V276" s="57"/>
      <c r="W276" s="57"/>
      <c r="X276" s="57"/>
      <c r="Y276" s="57"/>
      <c r="Z276" s="57"/>
      <c r="AA276" s="57"/>
      <c r="AB276" s="57"/>
      <c r="AC276" s="57"/>
      <c r="AD276" s="71"/>
      <c r="AE276" s="57"/>
      <c r="AF276" s="57"/>
      <c r="AG276" s="57"/>
      <c r="AH276" s="57"/>
      <c r="AI276" s="57"/>
      <c r="AJ276" s="57"/>
      <c r="AK276" s="57"/>
      <c r="AL276" s="57"/>
      <c r="AM276" s="71"/>
      <c r="AN276" s="57"/>
      <c r="AO276" s="57"/>
      <c r="AP276" s="57"/>
      <c r="AQ276" s="57"/>
      <c r="AR276" s="57"/>
      <c r="AS276" s="57"/>
      <c r="AT276" s="57"/>
      <c r="AU276" s="57"/>
      <c r="AV276" s="71"/>
      <c r="AW276" s="57"/>
      <c r="AX276" s="55"/>
      <c r="AY276" s="55"/>
      <c r="AZ276" s="55"/>
      <c r="BA276" s="55"/>
      <c r="BB276" s="55"/>
      <c r="BC276" s="55"/>
      <c r="BD276" s="57"/>
    </row>
    <row r="277" spans="1:56">
      <c r="A277" s="12" t="str">
        <f>Roster!A277</f>
        <v/>
      </c>
      <c r="B277" s="28">
        <f>Roster!C277</f>
        <v>0</v>
      </c>
      <c r="C277" s="55"/>
      <c r="D277" s="56"/>
      <c r="E277" s="57"/>
      <c r="F277" s="57"/>
      <c r="G277" s="57"/>
      <c r="H277" s="57"/>
      <c r="I277" s="57"/>
      <c r="J277" s="57"/>
      <c r="K277" s="45"/>
      <c r="L277" s="58"/>
      <c r="M277" s="56"/>
      <c r="N277" s="57"/>
      <c r="O277" s="57"/>
      <c r="P277" s="57"/>
      <c r="Q277" s="57"/>
      <c r="R277" s="57"/>
      <c r="S277" s="57"/>
      <c r="T277" s="45"/>
      <c r="U277" s="71"/>
      <c r="V277" s="57"/>
      <c r="W277" s="57"/>
      <c r="X277" s="57"/>
      <c r="Y277" s="57"/>
      <c r="Z277" s="57"/>
      <c r="AA277" s="57"/>
      <c r="AB277" s="57"/>
      <c r="AC277" s="57"/>
      <c r="AD277" s="71"/>
      <c r="AE277" s="57"/>
      <c r="AF277" s="57"/>
      <c r="AG277" s="57"/>
      <c r="AH277" s="57"/>
      <c r="AI277" s="57"/>
      <c r="AJ277" s="57"/>
      <c r="AK277" s="57"/>
      <c r="AL277" s="57"/>
      <c r="AM277" s="71"/>
      <c r="AN277" s="57"/>
      <c r="AO277" s="57"/>
      <c r="AP277" s="57"/>
      <c r="AQ277" s="57"/>
      <c r="AR277" s="57"/>
      <c r="AS277" s="57"/>
      <c r="AT277" s="57"/>
      <c r="AU277" s="57"/>
      <c r="AV277" s="71"/>
      <c r="AW277" s="57"/>
      <c r="AX277" s="55"/>
      <c r="AY277" s="55"/>
      <c r="AZ277" s="55"/>
      <c r="BA277" s="55"/>
      <c r="BB277" s="55"/>
      <c r="BC277" s="55"/>
      <c r="BD277" s="57"/>
    </row>
    <row r="278" spans="1:56">
      <c r="A278" s="12" t="str">
        <f>Roster!A278</f>
        <v/>
      </c>
      <c r="B278" s="28">
        <f>Roster!C278</f>
        <v>0</v>
      </c>
      <c r="C278" s="55"/>
      <c r="D278" s="56"/>
      <c r="E278" s="57"/>
      <c r="F278" s="57"/>
      <c r="G278" s="57"/>
      <c r="H278" s="57"/>
      <c r="I278" s="57"/>
      <c r="J278" s="57"/>
      <c r="K278" s="45"/>
      <c r="L278" s="58"/>
      <c r="M278" s="56"/>
      <c r="N278" s="57"/>
      <c r="O278" s="57"/>
      <c r="P278" s="57"/>
      <c r="Q278" s="57"/>
      <c r="R278" s="57"/>
      <c r="S278" s="57"/>
      <c r="T278" s="45"/>
      <c r="U278" s="71"/>
      <c r="V278" s="57"/>
      <c r="W278" s="57"/>
      <c r="X278" s="57"/>
      <c r="Y278" s="57"/>
      <c r="Z278" s="57"/>
      <c r="AA278" s="57"/>
      <c r="AB278" s="57"/>
      <c r="AC278" s="57"/>
      <c r="AD278" s="71"/>
      <c r="AE278" s="57"/>
      <c r="AF278" s="57"/>
      <c r="AG278" s="57"/>
      <c r="AH278" s="57"/>
      <c r="AI278" s="57"/>
      <c r="AJ278" s="57"/>
      <c r="AK278" s="57"/>
      <c r="AL278" s="57"/>
      <c r="AM278" s="71"/>
      <c r="AN278" s="57"/>
      <c r="AO278" s="57"/>
      <c r="AP278" s="57"/>
      <c r="AQ278" s="57"/>
      <c r="AR278" s="57"/>
      <c r="AS278" s="57"/>
      <c r="AT278" s="57"/>
      <c r="AU278" s="57"/>
      <c r="AV278" s="71"/>
      <c r="AW278" s="57"/>
      <c r="AX278" s="55"/>
      <c r="AY278" s="55"/>
      <c r="AZ278" s="55"/>
      <c r="BA278" s="55"/>
      <c r="BB278" s="55"/>
      <c r="BC278" s="55"/>
      <c r="BD278" s="57"/>
    </row>
    <row r="279" spans="1:56">
      <c r="A279" s="12" t="str">
        <f>Roster!A279</f>
        <v/>
      </c>
      <c r="B279" s="28">
        <f>Roster!C279</f>
        <v>0</v>
      </c>
      <c r="C279" s="55"/>
      <c r="D279" s="56"/>
      <c r="E279" s="57"/>
      <c r="F279" s="57"/>
      <c r="G279" s="57"/>
      <c r="H279" s="57"/>
      <c r="I279" s="57"/>
      <c r="J279" s="57"/>
      <c r="K279" s="45"/>
      <c r="L279" s="58"/>
      <c r="M279" s="56"/>
      <c r="N279" s="57"/>
      <c r="O279" s="57"/>
      <c r="P279" s="57"/>
      <c r="Q279" s="57"/>
      <c r="R279" s="57"/>
      <c r="S279" s="57"/>
      <c r="T279" s="45"/>
      <c r="U279" s="71"/>
      <c r="V279" s="57"/>
      <c r="W279" s="57"/>
      <c r="X279" s="57"/>
      <c r="Y279" s="57"/>
      <c r="Z279" s="57"/>
      <c r="AA279" s="57"/>
      <c r="AB279" s="57"/>
      <c r="AC279" s="57"/>
      <c r="AD279" s="71"/>
      <c r="AE279" s="57"/>
      <c r="AF279" s="57"/>
      <c r="AG279" s="57"/>
      <c r="AH279" s="57"/>
      <c r="AI279" s="57"/>
      <c r="AJ279" s="57"/>
      <c r="AK279" s="57"/>
      <c r="AL279" s="57"/>
      <c r="AM279" s="71"/>
      <c r="AN279" s="57"/>
      <c r="AO279" s="57"/>
      <c r="AP279" s="57"/>
      <c r="AQ279" s="57"/>
      <c r="AR279" s="57"/>
      <c r="AS279" s="57"/>
      <c r="AT279" s="57"/>
      <c r="AU279" s="57"/>
      <c r="AV279" s="71"/>
      <c r="AW279" s="57"/>
      <c r="AX279" s="55"/>
      <c r="AY279" s="55"/>
      <c r="AZ279" s="55"/>
      <c r="BA279" s="55"/>
      <c r="BB279" s="55"/>
      <c r="BC279" s="55"/>
      <c r="BD279" s="57"/>
    </row>
    <row r="280" spans="1:56">
      <c r="A280" s="12" t="str">
        <f>Roster!A280</f>
        <v/>
      </c>
      <c r="B280" s="28">
        <f>Roster!C280</f>
        <v>0</v>
      </c>
      <c r="C280" s="55"/>
      <c r="D280" s="56"/>
      <c r="E280" s="57"/>
      <c r="F280" s="57"/>
      <c r="G280" s="57"/>
      <c r="H280" s="57"/>
      <c r="I280" s="57"/>
      <c r="J280" s="57"/>
      <c r="K280" s="45"/>
      <c r="L280" s="58"/>
      <c r="M280" s="56"/>
      <c r="N280" s="57"/>
      <c r="O280" s="57"/>
      <c r="P280" s="57"/>
      <c r="Q280" s="57"/>
      <c r="R280" s="57"/>
      <c r="S280" s="57"/>
      <c r="T280" s="45"/>
      <c r="U280" s="71"/>
      <c r="V280" s="57"/>
      <c r="W280" s="57"/>
      <c r="X280" s="57"/>
      <c r="Y280" s="57"/>
      <c r="Z280" s="57"/>
      <c r="AA280" s="57"/>
      <c r="AB280" s="57"/>
      <c r="AC280" s="57"/>
      <c r="AD280" s="71"/>
      <c r="AE280" s="57"/>
      <c r="AF280" s="57"/>
      <c r="AG280" s="57"/>
      <c r="AH280" s="57"/>
      <c r="AI280" s="57"/>
      <c r="AJ280" s="57"/>
      <c r="AK280" s="57"/>
      <c r="AL280" s="57"/>
      <c r="AM280" s="71"/>
      <c r="AN280" s="57"/>
      <c r="AO280" s="57"/>
      <c r="AP280" s="57"/>
      <c r="AQ280" s="57"/>
      <c r="AR280" s="57"/>
      <c r="AS280" s="57"/>
      <c r="AT280" s="57"/>
      <c r="AU280" s="57"/>
      <c r="AV280" s="71"/>
      <c r="AW280" s="57"/>
      <c r="AX280" s="55"/>
      <c r="AY280" s="55"/>
      <c r="AZ280" s="55"/>
      <c r="BA280" s="55"/>
      <c r="BB280" s="55"/>
      <c r="BC280" s="55"/>
      <c r="BD280" s="57"/>
    </row>
    <row r="281" spans="1:56">
      <c r="A281" s="12" t="str">
        <f>Roster!A281</f>
        <v/>
      </c>
      <c r="B281" s="28">
        <f>Roster!C281</f>
        <v>0</v>
      </c>
      <c r="C281" s="55"/>
      <c r="D281" s="56"/>
      <c r="E281" s="57"/>
      <c r="F281" s="57"/>
      <c r="G281" s="57"/>
      <c r="H281" s="57"/>
      <c r="I281" s="57"/>
      <c r="J281" s="57"/>
      <c r="K281" s="45"/>
      <c r="L281" s="58"/>
      <c r="M281" s="56"/>
      <c r="N281" s="57"/>
      <c r="O281" s="57"/>
      <c r="P281" s="57"/>
      <c r="Q281" s="57"/>
      <c r="R281" s="57"/>
      <c r="S281" s="57"/>
      <c r="T281" s="45"/>
      <c r="U281" s="71"/>
      <c r="V281" s="57"/>
      <c r="W281" s="57"/>
      <c r="X281" s="57"/>
      <c r="Y281" s="57"/>
      <c r="Z281" s="57"/>
      <c r="AA281" s="57"/>
      <c r="AB281" s="57"/>
      <c r="AC281" s="57"/>
      <c r="AD281" s="71"/>
      <c r="AE281" s="57"/>
      <c r="AF281" s="57"/>
      <c r="AG281" s="57"/>
      <c r="AH281" s="57"/>
      <c r="AI281" s="57"/>
      <c r="AJ281" s="57"/>
      <c r="AK281" s="57"/>
      <c r="AL281" s="57"/>
      <c r="AM281" s="71"/>
      <c r="AN281" s="57"/>
      <c r="AO281" s="57"/>
      <c r="AP281" s="57"/>
      <c r="AQ281" s="57"/>
      <c r="AR281" s="57"/>
      <c r="AS281" s="57"/>
      <c r="AT281" s="57"/>
      <c r="AU281" s="57"/>
      <c r="AV281" s="71"/>
      <c r="AW281" s="57"/>
      <c r="AX281" s="55"/>
      <c r="AY281" s="55"/>
      <c r="AZ281" s="55"/>
      <c r="BA281" s="55"/>
      <c r="BB281" s="55"/>
      <c r="BC281" s="55"/>
      <c r="BD281" s="57"/>
    </row>
    <row r="282" spans="1:56">
      <c r="A282" s="12" t="str">
        <f>Roster!A282</f>
        <v/>
      </c>
      <c r="B282" s="28">
        <f>Roster!C282</f>
        <v>0</v>
      </c>
      <c r="C282" s="55"/>
      <c r="D282" s="56"/>
      <c r="E282" s="57"/>
      <c r="F282" s="57"/>
      <c r="G282" s="57"/>
      <c r="H282" s="57"/>
      <c r="I282" s="57"/>
      <c r="J282" s="57"/>
      <c r="K282" s="45"/>
      <c r="L282" s="58"/>
      <c r="M282" s="56"/>
      <c r="N282" s="57"/>
      <c r="O282" s="57"/>
      <c r="P282" s="57"/>
      <c r="Q282" s="57"/>
      <c r="R282" s="57"/>
      <c r="S282" s="57"/>
      <c r="T282" s="45"/>
      <c r="U282" s="71"/>
      <c r="V282" s="57"/>
      <c r="W282" s="57"/>
      <c r="X282" s="57"/>
      <c r="Y282" s="57"/>
      <c r="Z282" s="57"/>
      <c r="AA282" s="57"/>
      <c r="AB282" s="57"/>
      <c r="AC282" s="57"/>
      <c r="AD282" s="71"/>
      <c r="AE282" s="57"/>
      <c r="AF282" s="57"/>
      <c r="AG282" s="57"/>
      <c r="AH282" s="57"/>
      <c r="AI282" s="57"/>
      <c r="AJ282" s="57"/>
      <c r="AK282" s="57"/>
      <c r="AL282" s="57"/>
      <c r="AM282" s="71"/>
      <c r="AN282" s="57"/>
      <c r="AO282" s="57"/>
      <c r="AP282" s="57"/>
      <c r="AQ282" s="57"/>
      <c r="AR282" s="57"/>
      <c r="AS282" s="57"/>
      <c r="AT282" s="57"/>
      <c r="AU282" s="57"/>
      <c r="AV282" s="71"/>
      <c r="AW282" s="57"/>
      <c r="AX282" s="55"/>
      <c r="AY282" s="55"/>
      <c r="AZ282" s="55"/>
      <c r="BA282" s="55"/>
      <c r="BB282" s="55"/>
      <c r="BC282" s="55"/>
      <c r="BD282" s="57"/>
    </row>
    <row r="283" spans="1:56">
      <c r="A283" s="12" t="str">
        <f>Roster!A283</f>
        <v/>
      </c>
      <c r="B283" s="28">
        <f>Roster!C283</f>
        <v>0</v>
      </c>
      <c r="C283" s="55"/>
      <c r="D283" s="56"/>
      <c r="E283" s="57"/>
      <c r="F283" s="57"/>
      <c r="G283" s="57"/>
      <c r="H283" s="57"/>
      <c r="I283" s="57"/>
      <c r="J283" s="57"/>
      <c r="K283" s="45"/>
      <c r="L283" s="58"/>
      <c r="M283" s="56"/>
      <c r="N283" s="57"/>
      <c r="O283" s="57"/>
      <c r="P283" s="57"/>
      <c r="Q283" s="57"/>
      <c r="R283" s="57"/>
      <c r="S283" s="57"/>
      <c r="T283" s="45"/>
      <c r="U283" s="71"/>
      <c r="V283" s="57"/>
      <c r="W283" s="57"/>
      <c r="X283" s="57"/>
      <c r="Y283" s="57"/>
      <c r="Z283" s="57"/>
      <c r="AA283" s="57"/>
      <c r="AB283" s="57"/>
      <c r="AC283" s="57"/>
      <c r="AD283" s="71"/>
      <c r="AE283" s="57"/>
      <c r="AF283" s="57"/>
      <c r="AG283" s="57"/>
      <c r="AH283" s="57"/>
      <c r="AI283" s="57"/>
      <c r="AJ283" s="57"/>
      <c r="AK283" s="57"/>
      <c r="AL283" s="57"/>
      <c r="AM283" s="71"/>
      <c r="AN283" s="57"/>
      <c r="AO283" s="57"/>
      <c r="AP283" s="57"/>
      <c r="AQ283" s="57"/>
      <c r="AR283" s="57"/>
      <c r="AS283" s="57"/>
      <c r="AT283" s="57"/>
      <c r="AU283" s="57"/>
      <c r="AV283" s="71"/>
      <c r="AW283" s="57"/>
      <c r="AX283" s="55"/>
      <c r="AY283" s="55"/>
      <c r="AZ283" s="55"/>
      <c r="BA283" s="55"/>
      <c r="BB283" s="55"/>
      <c r="BC283" s="55"/>
      <c r="BD283" s="57"/>
    </row>
    <row r="284" spans="1:56">
      <c r="A284" s="12" t="str">
        <f>Roster!A284</f>
        <v/>
      </c>
      <c r="B284" s="28">
        <f>Roster!C284</f>
        <v>0</v>
      </c>
      <c r="C284" s="55"/>
      <c r="D284" s="56"/>
      <c r="E284" s="57"/>
      <c r="F284" s="57"/>
      <c r="G284" s="57"/>
      <c r="H284" s="57"/>
      <c r="I284" s="57"/>
      <c r="J284" s="57"/>
      <c r="K284" s="45"/>
      <c r="L284" s="58"/>
      <c r="M284" s="56"/>
      <c r="N284" s="57"/>
      <c r="O284" s="57"/>
      <c r="P284" s="57"/>
      <c r="Q284" s="57"/>
      <c r="R284" s="57"/>
      <c r="S284" s="57"/>
      <c r="T284" s="45"/>
      <c r="U284" s="71"/>
      <c r="V284" s="57"/>
      <c r="W284" s="57"/>
      <c r="X284" s="57"/>
      <c r="Y284" s="57"/>
      <c r="Z284" s="57"/>
      <c r="AA284" s="57"/>
      <c r="AB284" s="57"/>
      <c r="AC284" s="57"/>
      <c r="AD284" s="71"/>
      <c r="AE284" s="57"/>
      <c r="AF284" s="57"/>
      <c r="AG284" s="57"/>
      <c r="AH284" s="57"/>
      <c r="AI284" s="57"/>
      <c r="AJ284" s="57"/>
      <c r="AK284" s="57"/>
      <c r="AL284" s="57"/>
      <c r="AM284" s="71"/>
      <c r="AN284" s="57"/>
      <c r="AO284" s="57"/>
      <c r="AP284" s="57"/>
      <c r="AQ284" s="57"/>
      <c r="AR284" s="57"/>
      <c r="AS284" s="57"/>
      <c r="AT284" s="57"/>
      <c r="AU284" s="57"/>
      <c r="AV284" s="71"/>
      <c r="AW284" s="57"/>
      <c r="AX284" s="55"/>
      <c r="AY284" s="55"/>
      <c r="AZ284" s="55"/>
      <c r="BA284" s="55"/>
      <c r="BB284" s="55"/>
      <c r="BC284" s="55"/>
      <c r="BD284" s="57"/>
    </row>
    <row r="285" spans="1:56">
      <c r="A285" s="12" t="str">
        <f>Roster!A285</f>
        <v/>
      </c>
      <c r="B285" s="28">
        <f>Roster!C285</f>
        <v>0</v>
      </c>
      <c r="C285" s="55"/>
      <c r="D285" s="56"/>
      <c r="E285" s="57"/>
      <c r="F285" s="57"/>
      <c r="G285" s="57"/>
      <c r="H285" s="57"/>
      <c r="I285" s="57"/>
      <c r="J285" s="57"/>
      <c r="K285" s="45"/>
      <c r="L285" s="58"/>
      <c r="M285" s="56"/>
      <c r="N285" s="57"/>
      <c r="O285" s="57"/>
      <c r="P285" s="57"/>
      <c r="Q285" s="57"/>
      <c r="R285" s="57"/>
      <c r="S285" s="57"/>
      <c r="T285" s="45"/>
      <c r="U285" s="71"/>
      <c r="V285" s="57"/>
      <c r="W285" s="57"/>
      <c r="X285" s="57"/>
      <c r="Y285" s="57"/>
      <c r="Z285" s="57"/>
      <c r="AA285" s="57"/>
      <c r="AB285" s="57"/>
      <c r="AC285" s="57"/>
      <c r="AD285" s="71"/>
      <c r="AE285" s="57"/>
      <c r="AF285" s="57"/>
      <c r="AG285" s="57"/>
      <c r="AH285" s="57"/>
      <c r="AI285" s="57"/>
      <c r="AJ285" s="57"/>
      <c r="AK285" s="57"/>
      <c r="AL285" s="57"/>
      <c r="AM285" s="71"/>
      <c r="AN285" s="57"/>
      <c r="AO285" s="57"/>
      <c r="AP285" s="57"/>
      <c r="AQ285" s="57"/>
      <c r="AR285" s="57"/>
      <c r="AS285" s="57"/>
      <c r="AT285" s="57"/>
      <c r="AU285" s="57"/>
      <c r="AV285" s="71"/>
      <c r="AW285" s="57"/>
      <c r="AX285" s="55"/>
      <c r="AY285" s="55"/>
      <c r="AZ285" s="55"/>
      <c r="BA285" s="55"/>
      <c r="BB285" s="55"/>
      <c r="BC285" s="55"/>
      <c r="BD285" s="57"/>
    </row>
    <row r="286" spans="1:56">
      <c r="A286" s="12" t="str">
        <f>Roster!A286</f>
        <v/>
      </c>
      <c r="B286" s="28">
        <f>Roster!C286</f>
        <v>0</v>
      </c>
      <c r="C286" s="55"/>
      <c r="D286" s="56"/>
      <c r="E286" s="57"/>
      <c r="F286" s="57"/>
      <c r="G286" s="57"/>
      <c r="H286" s="57"/>
      <c r="I286" s="57"/>
      <c r="J286" s="57"/>
      <c r="K286" s="45"/>
      <c r="L286" s="58"/>
      <c r="M286" s="56"/>
      <c r="N286" s="57"/>
      <c r="O286" s="57"/>
      <c r="P286" s="57"/>
      <c r="Q286" s="57"/>
      <c r="R286" s="57"/>
      <c r="S286" s="57"/>
      <c r="T286" s="45"/>
      <c r="U286" s="71"/>
      <c r="V286" s="57"/>
      <c r="W286" s="57"/>
      <c r="X286" s="57"/>
      <c r="Y286" s="57"/>
      <c r="Z286" s="57"/>
      <c r="AA286" s="57"/>
      <c r="AB286" s="57"/>
      <c r="AC286" s="57"/>
      <c r="AD286" s="71"/>
      <c r="AE286" s="57"/>
      <c r="AF286" s="57"/>
      <c r="AG286" s="57"/>
      <c r="AH286" s="57"/>
      <c r="AI286" s="57"/>
      <c r="AJ286" s="57"/>
      <c r="AK286" s="57"/>
      <c r="AL286" s="57"/>
      <c r="AM286" s="71"/>
      <c r="AN286" s="57"/>
      <c r="AO286" s="57"/>
      <c r="AP286" s="57"/>
      <c r="AQ286" s="57"/>
      <c r="AR286" s="57"/>
      <c r="AS286" s="57"/>
      <c r="AT286" s="57"/>
      <c r="AU286" s="57"/>
      <c r="AV286" s="71"/>
      <c r="AW286" s="57"/>
      <c r="AX286" s="55"/>
      <c r="AY286" s="55"/>
      <c r="AZ286" s="55"/>
      <c r="BA286" s="55"/>
      <c r="BB286" s="55"/>
      <c r="BC286" s="55"/>
      <c r="BD286" s="57"/>
    </row>
    <row r="287" spans="1:56">
      <c r="A287" s="12" t="str">
        <f>Roster!A287</f>
        <v/>
      </c>
      <c r="B287" s="28">
        <f>Roster!C287</f>
        <v>0</v>
      </c>
      <c r="C287" s="55"/>
      <c r="D287" s="56"/>
      <c r="E287" s="57"/>
      <c r="F287" s="57"/>
      <c r="G287" s="57"/>
      <c r="H287" s="57"/>
      <c r="I287" s="57"/>
      <c r="J287" s="57"/>
      <c r="K287" s="45"/>
      <c r="L287" s="58"/>
      <c r="M287" s="56"/>
      <c r="N287" s="57"/>
      <c r="O287" s="57"/>
      <c r="P287" s="57"/>
      <c r="Q287" s="57"/>
      <c r="R287" s="57"/>
      <c r="S287" s="57"/>
      <c r="T287" s="45"/>
      <c r="U287" s="71"/>
      <c r="V287" s="57"/>
      <c r="W287" s="57"/>
      <c r="X287" s="57"/>
      <c r="Y287" s="57"/>
      <c r="Z287" s="57"/>
      <c r="AA287" s="57"/>
      <c r="AB287" s="57"/>
      <c r="AC287" s="57"/>
      <c r="AD287" s="71"/>
      <c r="AE287" s="57"/>
      <c r="AF287" s="57"/>
      <c r="AG287" s="57"/>
      <c r="AH287" s="57"/>
      <c r="AI287" s="57"/>
      <c r="AJ287" s="57"/>
      <c r="AK287" s="57"/>
      <c r="AL287" s="57"/>
      <c r="AM287" s="71"/>
      <c r="AN287" s="57"/>
      <c r="AO287" s="57"/>
      <c r="AP287" s="57"/>
      <c r="AQ287" s="57"/>
      <c r="AR287" s="57"/>
      <c r="AS287" s="57"/>
      <c r="AT287" s="57"/>
      <c r="AU287" s="57"/>
      <c r="AV287" s="71"/>
      <c r="AW287" s="57"/>
      <c r="AX287" s="55"/>
      <c r="AY287" s="55"/>
      <c r="AZ287" s="55"/>
      <c r="BA287" s="55"/>
      <c r="BB287" s="55"/>
      <c r="BC287" s="55"/>
      <c r="BD287" s="57"/>
    </row>
    <row r="288" spans="1:56">
      <c r="A288" s="12" t="str">
        <f>Roster!A288</f>
        <v/>
      </c>
      <c r="B288" s="28">
        <f>Roster!C288</f>
        <v>0</v>
      </c>
      <c r="C288" s="55"/>
      <c r="D288" s="56"/>
      <c r="E288" s="57"/>
      <c r="F288" s="57"/>
      <c r="G288" s="57"/>
      <c r="H288" s="57"/>
      <c r="I288" s="57"/>
      <c r="J288" s="57"/>
      <c r="K288" s="45"/>
      <c r="L288" s="58"/>
      <c r="M288" s="56"/>
      <c r="N288" s="57"/>
      <c r="O288" s="57"/>
      <c r="P288" s="57"/>
      <c r="Q288" s="57"/>
      <c r="R288" s="57"/>
      <c r="S288" s="57"/>
      <c r="T288" s="45"/>
      <c r="U288" s="71"/>
      <c r="V288" s="57"/>
      <c r="W288" s="57"/>
      <c r="X288" s="57"/>
      <c r="Y288" s="57"/>
      <c r="Z288" s="57"/>
      <c r="AA288" s="57"/>
      <c r="AB288" s="57"/>
      <c r="AC288" s="57"/>
      <c r="AD288" s="71"/>
      <c r="AE288" s="57"/>
      <c r="AF288" s="57"/>
      <c r="AG288" s="57"/>
      <c r="AH288" s="57"/>
      <c r="AI288" s="57"/>
      <c r="AJ288" s="57"/>
      <c r="AK288" s="57"/>
      <c r="AL288" s="57"/>
      <c r="AM288" s="71"/>
      <c r="AN288" s="57"/>
      <c r="AO288" s="57"/>
      <c r="AP288" s="57"/>
      <c r="AQ288" s="57"/>
      <c r="AR288" s="57"/>
      <c r="AS288" s="57"/>
      <c r="AT288" s="57"/>
      <c r="AU288" s="57"/>
      <c r="AV288" s="71"/>
      <c r="AW288" s="57"/>
      <c r="AX288" s="55"/>
      <c r="AY288" s="55"/>
      <c r="AZ288" s="55"/>
      <c r="BA288" s="55"/>
      <c r="BB288" s="55"/>
      <c r="BC288" s="55"/>
      <c r="BD288" s="57"/>
    </row>
    <row r="289" spans="1:56">
      <c r="A289" s="12" t="str">
        <f>Roster!A289</f>
        <v/>
      </c>
      <c r="B289" s="28">
        <f>Roster!C289</f>
        <v>0</v>
      </c>
      <c r="C289" s="55"/>
      <c r="D289" s="56"/>
      <c r="E289" s="57"/>
      <c r="F289" s="57"/>
      <c r="G289" s="57"/>
      <c r="H289" s="57"/>
      <c r="I289" s="57"/>
      <c r="J289" s="57"/>
      <c r="K289" s="45"/>
      <c r="L289" s="58"/>
      <c r="M289" s="56"/>
      <c r="N289" s="57"/>
      <c r="O289" s="57"/>
      <c r="P289" s="57"/>
      <c r="Q289" s="57"/>
      <c r="R289" s="57"/>
      <c r="S289" s="57"/>
      <c r="T289" s="45"/>
      <c r="U289" s="71"/>
      <c r="V289" s="57"/>
      <c r="W289" s="57"/>
      <c r="X289" s="57"/>
      <c r="Y289" s="57"/>
      <c r="Z289" s="57"/>
      <c r="AA289" s="57"/>
      <c r="AB289" s="57"/>
      <c r="AC289" s="57"/>
      <c r="AD289" s="71"/>
      <c r="AE289" s="57"/>
      <c r="AF289" s="57"/>
      <c r="AG289" s="57"/>
      <c r="AH289" s="57"/>
      <c r="AI289" s="57"/>
      <c r="AJ289" s="57"/>
      <c r="AK289" s="57"/>
      <c r="AL289" s="57"/>
      <c r="AM289" s="71"/>
      <c r="AN289" s="57"/>
      <c r="AO289" s="57"/>
      <c r="AP289" s="57"/>
      <c r="AQ289" s="57"/>
      <c r="AR289" s="57"/>
      <c r="AS289" s="57"/>
      <c r="AT289" s="57"/>
      <c r="AU289" s="57"/>
      <c r="AV289" s="71"/>
      <c r="AW289" s="57"/>
      <c r="AX289" s="55"/>
      <c r="AY289" s="55"/>
      <c r="AZ289" s="55"/>
      <c r="BA289" s="55"/>
      <c r="BB289" s="55"/>
      <c r="BC289" s="55"/>
      <c r="BD289" s="57"/>
    </row>
    <row r="290" spans="1:56">
      <c r="A290" s="12" t="str">
        <f>Roster!A290</f>
        <v/>
      </c>
      <c r="B290" s="28">
        <f>Roster!C290</f>
        <v>0</v>
      </c>
      <c r="C290" s="55"/>
      <c r="D290" s="56"/>
      <c r="E290" s="57"/>
      <c r="F290" s="57"/>
      <c r="G290" s="57"/>
      <c r="H290" s="57"/>
      <c r="I290" s="57"/>
      <c r="J290" s="57"/>
      <c r="K290" s="45"/>
      <c r="L290" s="58"/>
      <c r="M290" s="56"/>
      <c r="N290" s="57"/>
      <c r="O290" s="57"/>
      <c r="P290" s="57"/>
      <c r="Q290" s="57"/>
      <c r="R290" s="57"/>
      <c r="S290" s="57"/>
      <c r="T290" s="45"/>
      <c r="U290" s="71"/>
      <c r="V290" s="57"/>
      <c r="W290" s="57"/>
      <c r="X290" s="57"/>
      <c r="Y290" s="57"/>
      <c r="Z290" s="57"/>
      <c r="AA290" s="57"/>
      <c r="AB290" s="57"/>
      <c r="AC290" s="57"/>
      <c r="AD290" s="71"/>
      <c r="AE290" s="57"/>
      <c r="AF290" s="57"/>
      <c r="AG290" s="57"/>
      <c r="AH290" s="57"/>
      <c r="AI290" s="57"/>
      <c r="AJ290" s="57"/>
      <c r="AK290" s="57"/>
      <c r="AL290" s="57"/>
      <c r="AM290" s="71"/>
      <c r="AN290" s="57"/>
      <c r="AO290" s="57"/>
      <c r="AP290" s="57"/>
      <c r="AQ290" s="57"/>
      <c r="AR290" s="57"/>
      <c r="AS290" s="57"/>
      <c r="AT290" s="57"/>
      <c r="AU290" s="57"/>
      <c r="AV290" s="71"/>
      <c r="AW290" s="57"/>
      <c r="AX290" s="55"/>
      <c r="AY290" s="55"/>
      <c r="AZ290" s="55"/>
      <c r="BA290" s="55"/>
      <c r="BB290" s="55"/>
      <c r="BC290" s="55"/>
      <c r="BD290" s="57"/>
    </row>
    <row r="291" spans="1:56">
      <c r="A291" s="12" t="str">
        <f>Roster!A291</f>
        <v/>
      </c>
      <c r="B291" s="28">
        <f>Roster!C291</f>
        <v>0</v>
      </c>
      <c r="C291" s="55"/>
      <c r="D291" s="56"/>
      <c r="E291" s="57"/>
      <c r="F291" s="57"/>
      <c r="G291" s="57"/>
      <c r="H291" s="57"/>
      <c r="I291" s="57"/>
      <c r="J291" s="57"/>
      <c r="K291" s="45"/>
      <c r="L291" s="58"/>
      <c r="M291" s="56"/>
      <c r="N291" s="57"/>
      <c r="O291" s="57"/>
      <c r="P291" s="57"/>
      <c r="Q291" s="57"/>
      <c r="R291" s="57"/>
      <c r="S291" s="57"/>
      <c r="T291" s="45"/>
      <c r="U291" s="71"/>
      <c r="V291" s="57"/>
      <c r="W291" s="57"/>
      <c r="X291" s="57"/>
      <c r="Y291" s="57"/>
      <c r="Z291" s="57"/>
      <c r="AA291" s="57"/>
      <c r="AB291" s="57"/>
      <c r="AC291" s="57"/>
      <c r="AD291" s="71"/>
      <c r="AE291" s="57"/>
      <c r="AF291" s="57"/>
      <c r="AG291" s="57"/>
      <c r="AH291" s="57"/>
      <c r="AI291" s="57"/>
      <c r="AJ291" s="57"/>
      <c r="AK291" s="57"/>
      <c r="AL291" s="57"/>
      <c r="AM291" s="71"/>
      <c r="AN291" s="57"/>
      <c r="AO291" s="57"/>
      <c r="AP291" s="57"/>
      <c r="AQ291" s="57"/>
      <c r="AR291" s="57"/>
      <c r="AS291" s="57"/>
      <c r="AT291" s="57"/>
      <c r="AU291" s="57"/>
      <c r="AV291" s="71"/>
      <c r="AW291" s="57"/>
      <c r="AX291" s="55"/>
      <c r="AY291" s="55"/>
      <c r="AZ291" s="55"/>
      <c r="BA291" s="55"/>
      <c r="BB291" s="55"/>
      <c r="BC291" s="55"/>
      <c r="BD291" s="57"/>
    </row>
    <row r="292" spans="1:56">
      <c r="A292" s="12" t="str">
        <f>Roster!A292</f>
        <v/>
      </c>
      <c r="B292" s="28">
        <f>Roster!C292</f>
        <v>0</v>
      </c>
      <c r="C292" s="55"/>
      <c r="D292" s="56"/>
      <c r="E292" s="57"/>
      <c r="F292" s="57"/>
      <c r="G292" s="57"/>
      <c r="H292" s="57"/>
      <c r="I292" s="57"/>
      <c r="J292" s="57"/>
      <c r="K292" s="45"/>
      <c r="L292" s="58"/>
      <c r="M292" s="56"/>
      <c r="N292" s="57"/>
      <c r="O292" s="57"/>
      <c r="P292" s="57"/>
      <c r="Q292" s="57"/>
      <c r="R292" s="57"/>
      <c r="S292" s="57"/>
      <c r="T292" s="45"/>
      <c r="U292" s="71"/>
      <c r="V292" s="57"/>
      <c r="W292" s="57"/>
      <c r="X292" s="57"/>
      <c r="Y292" s="57"/>
      <c r="Z292" s="57"/>
      <c r="AA292" s="57"/>
      <c r="AB292" s="57"/>
      <c r="AC292" s="57"/>
      <c r="AD292" s="71"/>
      <c r="AE292" s="57"/>
      <c r="AF292" s="57"/>
      <c r="AG292" s="57"/>
      <c r="AH292" s="57"/>
      <c r="AI292" s="57"/>
      <c r="AJ292" s="57"/>
      <c r="AK292" s="57"/>
      <c r="AL292" s="57"/>
      <c r="AM292" s="71"/>
      <c r="AN292" s="57"/>
      <c r="AO292" s="57"/>
      <c r="AP292" s="57"/>
      <c r="AQ292" s="57"/>
      <c r="AR292" s="57"/>
      <c r="AS292" s="57"/>
      <c r="AT292" s="57"/>
      <c r="AU292" s="57"/>
      <c r="AV292" s="71"/>
      <c r="AW292" s="57"/>
      <c r="AX292" s="55"/>
      <c r="AY292" s="55"/>
      <c r="AZ292" s="55"/>
      <c r="BA292" s="55"/>
      <c r="BB292" s="55"/>
      <c r="BC292" s="55"/>
      <c r="BD292" s="57"/>
    </row>
    <row r="293" spans="1:56">
      <c r="A293" s="12" t="str">
        <f>Roster!A293</f>
        <v/>
      </c>
      <c r="B293" s="28">
        <f>Roster!C293</f>
        <v>0</v>
      </c>
      <c r="C293" s="55"/>
      <c r="D293" s="56"/>
      <c r="E293" s="57"/>
      <c r="F293" s="57"/>
      <c r="G293" s="57"/>
      <c r="H293" s="57"/>
      <c r="I293" s="57"/>
      <c r="J293" s="57"/>
      <c r="K293" s="45"/>
      <c r="L293" s="58"/>
      <c r="M293" s="56"/>
      <c r="N293" s="57"/>
      <c r="O293" s="57"/>
      <c r="P293" s="57"/>
      <c r="Q293" s="57"/>
      <c r="R293" s="57"/>
      <c r="S293" s="57"/>
      <c r="T293" s="45"/>
      <c r="U293" s="71"/>
      <c r="V293" s="57"/>
      <c r="W293" s="57"/>
      <c r="X293" s="57"/>
      <c r="Y293" s="57"/>
      <c r="Z293" s="57"/>
      <c r="AA293" s="57"/>
      <c r="AB293" s="57"/>
      <c r="AC293" s="57"/>
      <c r="AD293" s="71"/>
      <c r="AE293" s="57"/>
      <c r="AF293" s="57"/>
      <c r="AG293" s="57"/>
      <c r="AH293" s="57"/>
      <c r="AI293" s="57"/>
      <c r="AJ293" s="57"/>
      <c r="AK293" s="57"/>
      <c r="AL293" s="57"/>
      <c r="AM293" s="71"/>
      <c r="AN293" s="57"/>
      <c r="AO293" s="57"/>
      <c r="AP293" s="57"/>
      <c r="AQ293" s="57"/>
      <c r="AR293" s="57"/>
      <c r="AS293" s="57"/>
      <c r="AT293" s="57"/>
      <c r="AU293" s="57"/>
      <c r="AV293" s="71"/>
      <c r="AW293" s="57"/>
      <c r="AX293" s="55"/>
      <c r="AY293" s="55"/>
      <c r="AZ293" s="55"/>
      <c r="BA293" s="55"/>
      <c r="BB293" s="55"/>
      <c r="BC293" s="55"/>
      <c r="BD293" s="57"/>
    </row>
    <row r="294" spans="1:56">
      <c r="A294" s="12" t="str">
        <f>Roster!A294</f>
        <v/>
      </c>
      <c r="B294" s="28">
        <f>Roster!C294</f>
        <v>0</v>
      </c>
      <c r="C294" s="55"/>
      <c r="D294" s="56"/>
      <c r="E294" s="57"/>
      <c r="F294" s="57"/>
      <c r="G294" s="57"/>
      <c r="H294" s="57"/>
      <c r="I294" s="57"/>
      <c r="J294" s="57"/>
      <c r="K294" s="45"/>
      <c r="L294" s="58"/>
      <c r="M294" s="56"/>
      <c r="N294" s="57"/>
      <c r="O294" s="57"/>
      <c r="P294" s="57"/>
      <c r="Q294" s="57"/>
      <c r="R294" s="57"/>
      <c r="S294" s="57"/>
      <c r="T294" s="45"/>
      <c r="U294" s="71"/>
      <c r="V294" s="57"/>
      <c r="W294" s="57"/>
      <c r="X294" s="57"/>
      <c r="Y294" s="57"/>
      <c r="Z294" s="57"/>
      <c r="AA294" s="57"/>
      <c r="AB294" s="57"/>
      <c r="AC294" s="57"/>
      <c r="AD294" s="71"/>
      <c r="AE294" s="57"/>
      <c r="AF294" s="57"/>
      <c r="AG294" s="57"/>
      <c r="AH294" s="57"/>
      <c r="AI294" s="57"/>
      <c r="AJ294" s="57"/>
      <c r="AK294" s="57"/>
      <c r="AL294" s="57"/>
      <c r="AM294" s="71"/>
      <c r="AN294" s="57"/>
      <c r="AO294" s="57"/>
      <c r="AP294" s="57"/>
      <c r="AQ294" s="57"/>
      <c r="AR294" s="57"/>
      <c r="AS294" s="57"/>
      <c r="AT294" s="57"/>
      <c r="AU294" s="57"/>
      <c r="AV294" s="71"/>
      <c r="AW294" s="57"/>
      <c r="AX294" s="55"/>
      <c r="AY294" s="55"/>
      <c r="AZ294" s="55"/>
      <c r="BA294" s="55"/>
      <c r="BB294" s="55"/>
      <c r="BC294" s="55"/>
      <c r="BD294" s="57"/>
    </row>
    <row r="295" spans="1:56">
      <c r="A295" s="12" t="str">
        <f>Roster!A295</f>
        <v/>
      </c>
      <c r="B295" s="28">
        <f>Roster!C295</f>
        <v>0</v>
      </c>
      <c r="C295" s="55"/>
      <c r="D295" s="56"/>
      <c r="E295" s="57"/>
      <c r="F295" s="57"/>
      <c r="G295" s="57"/>
      <c r="H295" s="57"/>
      <c r="I295" s="57"/>
      <c r="J295" s="57"/>
      <c r="K295" s="45"/>
      <c r="L295" s="58"/>
      <c r="M295" s="56"/>
      <c r="N295" s="57"/>
      <c r="O295" s="57"/>
      <c r="P295" s="57"/>
      <c r="Q295" s="57"/>
      <c r="R295" s="57"/>
      <c r="S295" s="57"/>
      <c r="T295" s="45"/>
      <c r="U295" s="71"/>
      <c r="V295" s="57"/>
      <c r="W295" s="57"/>
      <c r="X295" s="57"/>
      <c r="Y295" s="57"/>
      <c r="Z295" s="57"/>
      <c r="AA295" s="57"/>
      <c r="AB295" s="57"/>
      <c r="AC295" s="57"/>
      <c r="AD295" s="71"/>
      <c r="AE295" s="57"/>
      <c r="AF295" s="57"/>
      <c r="AG295" s="57"/>
      <c r="AH295" s="57"/>
      <c r="AI295" s="57"/>
      <c r="AJ295" s="57"/>
      <c r="AK295" s="57"/>
      <c r="AL295" s="57"/>
      <c r="AM295" s="71"/>
      <c r="AN295" s="57"/>
      <c r="AO295" s="57"/>
      <c r="AP295" s="57"/>
      <c r="AQ295" s="57"/>
      <c r="AR295" s="57"/>
      <c r="AS295" s="57"/>
      <c r="AT295" s="57"/>
      <c r="AU295" s="57"/>
      <c r="AV295" s="71"/>
      <c r="AW295" s="57"/>
      <c r="AX295" s="55"/>
      <c r="AY295" s="55"/>
      <c r="AZ295" s="55"/>
      <c r="BA295" s="55"/>
      <c r="BB295" s="55"/>
      <c r="BC295" s="55"/>
      <c r="BD295" s="57"/>
    </row>
    <row r="296" spans="1:56">
      <c r="A296" s="12" t="str">
        <f>Roster!A296</f>
        <v/>
      </c>
      <c r="B296" s="28">
        <f>Roster!C296</f>
        <v>0</v>
      </c>
      <c r="C296" s="55"/>
      <c r="D296" s="56"/>
      <c r="E296" s="57"/>
      <c r="F296" s="57"/>
      <c r="G296" s="57"/>
      <c r="H296" s="57"/>
      <c r="I296" s="57"/>
      <c r="J296" s="57"/>
      <c r="K296" s="45"/>
      <c r="L296" s="58"/>
      <c r="M296" s="56"/>
      <c r="N296" s="57"/>
      <c r="O296" s="57"/>
      <c r="P296" s="57"/>
      <c r="Q296" s="57"/>
      <c r="R296" s="57"/>
      <c r="S296" s="57"/>
      <c r="T296" s="45"/>
      <c r="U296" s="71"/>
      <c r="V296" s="57"/>
      <c r="W296" s="57"/>
      <c r="X296" s="57"/>
      <c r="Y296" s="57"/>
      <c r="Z296" s="57"/>
      <c r="AA296" s="57"/>
      <c r="AB296" s="57"/>
      <c r="AC296" s="57"/>
      <c r="AD296" s="71"/>
      <c r="AE296" s="57"/>
      <c r="AF296" s="57"/>
      <c r="AG296" s="57"/>
      <c r="AH296" s="57"/>
      <c r="AI296" s="57"/>
      <c r="AJ296" s="57"/>
      <c r="AK296" s="57"/>
      <c r="AL296" s="57"/>
      <c r="AM296" s="71"/>
      <c r="AN296" s="57"/>
      <c r="AO296" s="57"/>
      <c r="AP296" s="57"/>
      <c r="AQ296" s="57"/>
      <c r="AR296" s="57"/>
      <c r="AS296" s="57"/>
      <c r="AT296" s="57"/>
      <c r="AU296" s="57"/>
      <c r="AV296" s="71"/>
      <c r="AW296" s="57"/>
      <c r="AX296" s="55"/>
      <c r="AY296" s="55"/>
      <c r="AZ296" s="55"/>
      <c r="BA296" s="55"/>
      <c r="BB296" s="55"/>
      <c r="BC296" s="55"/>
      <c r="BD296" s="57"/>
    </row>
    <row r="297" spans="1:56">
      <c r="A297" s="12" t="str">
        <f>Roster!A297</f>
        <v/>
      </c>
      <c r="B297" s="28">
        <f>Roster!C297</f>
        <v>0</v>
      </c>
      <c r="C297" s="55"/>
      <c r="D297" s="56"/>
      <c r="E297" s="57"/>
      <c r="F297" s="57"/>
      <c r="G297" s="57"/>
      <c r="H297" s="57"/>
      <c r="I297" s="57"/>
      <c r="J297" s="57"/>
      <c r="K297" s="45"/>
      <c r="L297" s="58"/>
      <c r="M297" s="56"/>
      <c r="N297" s="57"/>
      <c r="O297" s="57"/>
      <c r="P297" s="57"/>
      <c r="Q297" s="57"/>
      <c r="R297" s="57"/>
      <c r="S297" s="57"/>
      <c r="T297" s="45"/>
      <c r="U297" s="71"/>
      <c r="V297" s="57"/>
      <c r="W297" s="57"/>
      <c r="X297" s="57"/>
      <c r="Y297" s="57"/>
      <c r="Z297" s="57"/>
      <c r="AA297" s="57"/>
      <c r="AB297" s="57"/>
      <c r="AC297" s="57"/>
      <c r="AD297" s="71"/>
      <c r="AE297" s="57"/>
      <c r="AF297" s="57"/>
      <c r="AG297" s="57"/>
      <c r="AH297" s="57"/>
      <c r="AI297" s="57"/>
      <c r="AJ297" s="57"/>
      <c r="AK297" s="57"/>
      <c r="AL297" s="57"/>
      <c r="AM297" s="71"/>
      <c r="AN297" s="57"/>
      <c r="AO297" s="57"/>
      <c r="AP297" s="57"/>
      <c r="AQ297" s="57"/>
      <c r="AR297" s="57"/>
      <c r="AS297" s="57"/>
      <c r="AT297" s="57"/>
      <c r="AU297" s="57"/>
      <c r="AV297" s="71"/>
      <c r="AW297" s="57"/>
      <c r="AX297" s="55"/>
      <c r="AY297" s="55"/>
      <c r="AZ297" s="55"/>
      <c r="BA297" s="55"/>
      <c r="BB297" s="55"/>
      <c r="BC297" s="55"/>
      <c r="BD297" s="57"/>
    </row>
    <row r="298" spans="1:56">
      <c r="A298" s="12" t="str">
        <f>Roster!A298</f>
        <v/>
      </c>
      <c r="B298" s="28">
        <f>Roster!C298</f>
        <v>0</v>
      </c>
      <c r="C298" s="55"/>
      <c r="D298" s="56"/>
      <c r="E298" s="57"/>
      <c r="F298" s="57"/>
      <c r="G298" s="57"/>
      <c r="H298" s="57"/>
      <c r="I298" s="57"/>
      <c r="J298" s="57"/>
      <c r="K298" s="45"/>
      <c r="L298" s="58"/>
      <c r="M298" s="56"/>
      <c r="N298" s="57"/>
      <c r="O298" s="57"/>
      <c r="P298" s="57"/>
      <c r="Q298" s="57"/>
      <c r="R298" s="57"/>
      <c r="S298" s="57"/>
      <c r="T298" s="45"/>
      <c r="U298" s="71"/>
      <c r="V298" s="57"/>
      <c r="W298" s="57"/>
      <c r="X298" s="57"/>
      <c r="Y298" s="57"/>
      <c r="Z298" s="57"/>
      <c r="AA298" s="57"/>
      <c r="AB298" s="57"/>
      <c r="AC298" s="57"/>
      <c r="AD298" s="71"/>
      <c r="AE298" s="57"/>
      <c r="AF298" s="57"/>
      <c r="AG298" s="57"/>
      <c r="AH298" s="57"/>
      <c r="AI298" s="57"/>
      <c r="AJ298" s="57"/>
      <c r="AK298" s="57"/>
      <c r="AL298" s="57"/>
      <c r="AM298" s="71"/>
      <c r="AN298" s="57"/>
      <c r="AO298" s="57"/>
      <c r="AP298" s="57"/>
      <c r="AQ298" s="57"/>
      <c r="AR298" s="57"/>
      <c r="AS298" s="57"/>
      <c r="AT298" s="57"/>
      <c r="AU298" s="57"/>
      <c r="AV298" s="71"/>
      <c r="AW298" s="57"/>
      <c r="AX298" s="55"/>
      <c r="AY298" s="55"/>
      <c r="AZ298" s="55"/>
      <c r="BA298" s="55"/>
      <c r="BB298" s="55"/>
      <c r="BC298" s="55"/>
      <c r="BD298" s="57"/>
    </row>
    <row r="299" spans="1:56">
      <c r="A299" s="12" t="str">
        <f>Roster!A299</f>
        <v/>
      </c>
      <c r="B299" s="28">
        <f>Roster!C299</f>
        <v>0</v>
      </c>
      <c r="C299" s="55"/>
      <c r="D299" s="56"/>
      <c r="E299" s="57"/>
      <c r="F299" s="57"/>
      <c r="G299" s="57"/>
      <c r="H299" s="57"/>
      <c r="I299" s="57"/>
      <c r="J299" s="57"/>
      <c r="K299" s="45"/>
      <c r="L299" s="58"/>
      <c r="M299" s="56"/>
      <c r="N299" s="57"/>
      <c r="O299" s="57"/>
      <c r="P299" s="57"/>
      <c r="Q299" s="57"/>
      <c r="R299" s="57"/>
      <c r="S299" s="57"/>
      <c r="T299" s="45"/>
      <c r="U299" s="71"/>
      <c r="V299" s="57"/>
      <c r="W299" s="57"/>
      <c r="X299" s="57"/>
      <c r="Y299" s="57"/>
      <c r="Z299" s="57"/>
      <c r="AA299" s="57"/>
      <c r="AB299" s="57"/>
      <c r="AC299" s="57"/>
      <c r="AD299" s="71"/>
      <c r="AE299" s="57"/>
      <c r="AF299" s="57"/>
      <c r="AG299" s="57"/>
      <c r="AH299" s="57"/>
      <c r="AI299" s="57"/>
      <c r="AJ299" s="57"/>
      <c r="AK299" s="57"/>
      <c r="AL299" s="57"/>
      <c r="AM299" s="71"/>
      <c r="AN299" s="57"/>
      <c r="AO299" s="57"/>
      <c r="AP299" s="57"/>
      <c r="AQ299" s="57"/>
      <c r="AR299" s="57"/>
      <c r="AS299" s="57"/>
      <c r="AT299" s="57"/>
      <c r="AU299" s="57"/>
      <c r="AV299" s="71"/>
      <c r="AW299" s="57"/>
      <c r="AX299" s="55"/>
      <c r="AY299" s="55"/>
      <c r="AZ299" s="55"/>
      <c r="BA299" s="55"/>
      <c r="BB299" s="55"/>
      <c r="BC299" s="55"/>
      <c r="BD299" s="57"/>
    </row>
    <row r="300" spans="1:56">
      <c r="A300" s="12" t="str">
        <f>Roster!A300</f>
        <v/>
      </c>
      <c r="B300" s="28">
        <f>Roster!C300</f>
        <v>0</v>
      </c>
      <c r="C300" s="55"/>
      <c r="D300" s="56"/>
      <c r="E300" s="57"/>
      <c r="F300" s="57"/>
      <c r="G300" s="57"/>
      <c r="H300" s="57"/>
      <c r="I300" s="57"/>
      <c r="J300" s="57"/>
      <c r="K300" s="45"/>
      <c r="L300" s="58"/>
      <c r="M300" s="56"/>
      <c r="N300" s="57"/>
      <c r="O300" s="57"/>
      <c r="P300" s="57"/>
      <c r="Q300" s="57"/>
      <c r="R300" s="57"/>
      <c r="S300" s="57"/>
      <c r="T300" s="45"/>
      <c r="U300" s="71"/>
      <c r="V300" s="57"/>
      <c r="W300" s="57"/>
      <c r="X300" s="57"/>
      <c r="Y300" s="57"/>
      <c r="Z300" s="57"/>
      <c r="AA300" s="57"/>
      <c r="AB300" s="57"/>
      <c r="AC300" s="57"/>
      <c r="AD300" s="71"/>
      <c r="AE300" s="57"/>
      <c r="AF300" s="57"/>
      <c r="AG300" s="57"/>
      <c r="AH300" s="57"/>
      <c r="AI300" s="57"/>
      <c r="AJ300" s="57"/>
      <c r="AK300" s="57"/>
      <c r="AL300" s="57"/>
      <c r="AM300" s="71"/>
      <c r="AN300" s="57"/>
      <c r="AO300" s="57"/>
      <c r="AP300" s="57"/>
      <c r="AQ300" s="57"/>
      <c r="AR300" s="57"/>
      <c r="AS300" s="57"/>
      <c r="AT300" s="57"/>
      <c r="AU300" s="57"/>
      <c r="AV300" s="71"/>
      <c r="AW300" s="57"/>
      <c r="AX300" s="55"/>
      <c r="AY300" s="55"/>
      <c r="AZ300" s="55"/>
      <c r="BA300" s="55"/>
      <c r="BB300" s="55"/>
      <c r="BC300" s="55"/>
      <c r="BD300" s="57"/>
    </row>
    <row r="301" spans="1:56">
      <c r="A301" s="12" t="str">
        <f>Roster!A301</f>
        <v/>
      </c>
      <c r="B301" s="28">
        <f>Roster!C301</f>
        <v>0</v>
      </c>
      <c r="C301" s="55"/>
      <c r="D301" s="56"/>
      <c r="E301" s="57"/>
      <c r="F301" s="57"/>
      <c r="G301" s="57"/>
      <c r="H301" s="57"/>
      <c r="I301" s="57"/>
      <c r="J301" s="57"/>
      <c r="K301" s="45"/>
      <c r="L301" s="58"/>
      <c r="M301" s="56"/>
      <c r="N301" s="57"/>
      <c r="O301" s="57"/>
      <c r="P301" s="57"/>
      <c r="Q301" s="57"/>
      <c r="R301" s="57"/>
      <c r="S301" s="57"/>
      <c r="T301" s="45"/>
      <c r="U301" s="71"/>
      <c r="V301" s="57"/>
      <c r="W301" s="57"/>
      <c r="X301" s="57"/>
      <c r="Y301" s="57"/>
      <c r="Z301" s="57"/>
      <c r="AA301" s="57"/>
      <c r="AB301" s="57"/>
      <c r="AC301" s="57"/>
      <c r="AD301" s="71"/>
      <c r="AE301" s="57"/>
      <c r="AF301" s="57"/>
      <c r="AG301" s="57"/>
      <c r="AH301" s="57"/>
      <c r="AI301" s="57"/>
      <c r="AJ301" s="57"/>
      <c r="AK301" s="57"/>
      <c r="AL301" s="57"/>
      <c r="AM301" s="71"/>
      <c r="AN301" s="57"/>
      <c r="AO301" s="57"/>
      <c r="AP301" s="57"/>
      <c r="AQ301" s="57"/>
      <c r="AR301" s="57"/>
      <c r="AS301" s="57"/>
      <c r="AT301" s="57"/>
      <c r="AU301" s="57"/>
      <c r="AV301" s="71"/>
      <c r="AW301" s="57"/>
      <c r="AX301" s="55"/>
      <c r="AY301" s="55"/>
      <c r="AZ301" s="55"/>
      <c r="BA301" s="55"/>
      <c r="BB301" s="55"/>
      <c r="BC301" s="55"/>
      <c r="BD301" s="57"/>
    </row>
    <row r="302" spans="1:56">
      <c r="A302" s="12" t="str">
        <f>Roster!A302</f>
        <v/>
      </c>
      <c r="B302" s="28">
        <f>Roster!C302</f>
        <v>0</v>
      </c>
      <c r="C302" s="55"/>
      <c r="D302" s="56"/>
      <c r="E302" s="57"/>
      <c r="F302" s="57"/>
      <c r="G302" s="57"/>
      <c r="H302" s="57"/>
      <c r="I302" s="57"/>
      <c r="J302" s="57"/>
      <c r="K302" s="45"/>
      <c r="L302" s="58"/>
      <c r="M302" s="56"/>
      <c r="N302" s="57"/>
      <c r="O302" s="57"/>
      <c r="P302" s="57"/>
      <c r="Q302" s="57"/>
      <c r="R302" s="57"/>
      <c r="S302" s="57"/>
      <c r="T302" s="45"/>
      <c r="U302" s="71"/>
      <c r="V302" s="57"/>
      <c r="W302" s="57"/>
      <c r="X302" s="57"/>
      <c r="Y302" s="57"/>
      <c r="Z302" s="57"/>
      <c r="AA302" s="57"/>
      <c r="AB302" s="57"/>
      <c r="AC302" s="57"/>
      <c r="AD302" s="71"/>
      <c r="AE302" s="57"/>
      <c r="AF302" s="57"/>
      <c r="AG302" s="57"/>
      <c r="AH302" s="57"/>
      <c r="AI302" s="57"/>
      <c r="AJ302" s="57"/>
      <c r="AK302" s="57"/>
      <c r="AL302" s="57"/>
      <c r="AM302" s="71"/>
      <c r="AN302" s="57"/>
      <c r="AO302" s="57"/>
      <c r="AP302" s="57"/>
      <c r="AQ302" s="57"/>
      <c r="AR302" s="57"/>
      <c r="AS302" s="57"/>
      <c r="AT302" s="57"/>
      <c r="AU302" s="57"/>
      <c r="AV302" s="71"/>
      <c r="AW302" s="57"/>
      <c r="AX302" s="55"/>
      <c r="AY302" s="55"/>
      <c r="AZ302" s="55"/>
      <c r="BA302" s="55"/>
      <c r="BB302" s="55"/>
      <c r="BC302" s="55"/>
      <c r="BD302" s="57"/>
    </row>
  </sheetData>
  <sheetProtection algorithmName="SHA-512" hashValue="68CXvN5ViDmnSX+zfLV2mDbqWBmH3rzx3M/uuuToXPXGJvjvuew9DCHJ/57K5Arzi8xTwo8g5d2DIsJxdF6ARQ==" saltValue="fp8CjrC+ebyohzHeUpQCeA==" spinCount="100000" sheet="1" objects="1" scenarios="1"/>
  <mergeCells count="7">
    <mergeCell ref="AW1:BD1"/>
    <mergeCell ref="A1:B1"/>
    <mergeCell ref="D1:K1"/>
    <mergeCell ref="M1:T1"/>
    <mergeCell ref="V1:AC1"/>
    <mergeCell ref="AE1:AL1"/>
    <mergeCell ref="AN1:AU1"/>
  </mergeCells>
  <dataValidations count="1">
    <dataValidation type="whole" allowBlank="1" showInputMessage="1" showErrorMessage="1" errorTitle="Invalid Entry" error="You must use a 1 or leave the cell blank!" sqref="E3:J302 N3:S302 W3:AB302 AF3:AK302 AO3:AT302 AX3:BC302" xr:uid="{ADB5B75D-4F4B-47F6-8C14-E853AC8C061C}">
      <formula1>1</formula1>
      <formula2>1</formula2>
    </dataValidation>
  </dataValidations>
  <pageMargins left="0.25" right="0.25" top="0.75" bottom="0.75" header="0.3" footer="0.3"/>
  <pageSetup orientation="landscape"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Not Valid" error="Please use the dropdown menu for your entry!" xr:uid="{4731940E-5736-4835-A8BE-E25C74D0AE5E}">
          <x14:formula1>
            <xm:f>'DropDown Lists'!$E$2:$E$4</xm:f>
          </x14:formula1>
          <xm:sqref>C3:C302 L3:L302 U3:U302 AD3:AD302 AM3:AM302 AV3:AV302</xm:sqref>
        </x14:dataValidation>
        <x14:dataValidation type="list" allowBlank="1" showInputMessage="1" showErrorMessage="1" errorTitle="Not Valid" error="Please use the dropdown menu for your entry!" xr:uid="{FE37E5E3-BBE0-465A-AC2A-D47B8BB1B38B}">
          <x14:formula1>
            <xm:f>'DropDown Lists'!$F$2:$F$4</xm:f>
          </x14:formula1>
          <xm:sqref>D3:D302 M3:M302 V3:V302 AE3:AE302 AN3:AN302 AW3:AW302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937E9-3FBE-4E37-8DC4-99A9937403D1}">
  <dimension ref="A1:AQI454"/>
  <sheetViews>
    <sheetView topLeftCell="G1" zoomScaleNormal="100" workbookViewId="0">
      <selection activeCell="G1" sqref="G1"/>
    </sheetView>
  </sheetViews>
  <sheetFormatPr defaultColWidth="9.140625" defaultRowHeight="23.25"/>
  <cols>
    <col min="1" max="1" width="39.85546875" style="192" hidden="1" customWidth="1"/>
    <col min="2" max="2" width="21.85546875" style="193" hidden="1" customWidth="1"/>
    <col min="3" max="3" width="115" style="84" hidden="1" customWidth="1"/>
    <col min="4" max="4" width="22.5703125" style="84" hidden="1" customWidth="1"/>
    <col min="5" max="5" width="138.5703125" style="84" hidden="1" customWidth="1"/>
    <col min="6" max="6" width="9.140625" style="84" hidden="1" customWidth="1"/>
    <col min="7" max="7" width="18.140625" style="95" customWidth="1"/>
    <col min="8" max="8" width="46.5703125" style="84" customWidth="1"/>
    <col min="9" max="17" width="17.5703125" style="84" customWidth="1"/>
    <col min="18" max="16384" width="9.140625" style="84"/>
  </cols>
  <sheetData>
    <row r="1" spans="1:1127" s="93" customFormat="1" ht="57" thickBot="1">
      <c r="A1" s="90" t="s">
        <v>158</v>
      </c>
      <c r="B1" s="91" t="s">
        <v>159</v>
      </c>
      <c r="C1" s="92" t="s">
        <v>160</v>
      </c>
      <c r="D1" s="92" t="s">
        <v>161</v>
      </c>
      <c r="E1" s="92" t="s">
        <v>162</v>
      </c>
      <c r="G1" s="94"/>
      <c r="H1" s="241" t="s">
        <v>163</v>
      </c>
      <c r="I1" s="241"/>
      <c r="J1" s="241"/>
      <c r="K1" s="241"/>
      <c r="L1" s="241"/>
      <c r="M1" s="241"/>
      <c r="N1" s="241"/>
      <c r="O1" s="241"/>
      <c r="P1" s="241"/>
      <c r="Q1" s="241"/>
    </row>
    <row r="2" spans="1:1127" ht="24.75" thickTop="1" thickBot="1">
      <c r="A2" s="242" t="s">
        <v>164</v>
      </c>
      <c r="B2" s="243"/>
      <c r="C2" s="243"/>
      <c r="D2" s="243"/>
      <c r="E2" s="243"/>
      <c r="H2" s="96"/>
      <c r="I2" s="96"/>
      <c r="J2" s="96"/>
      <c r="K2" s="96"/>
      <c r="L2" s="96"/>
      <c r="M2" s="96"/>
      <c r="N2" s="96"/>
      <c r="O2" s="96"/>
      <c r="P2" s="96"/>
      <c r="Q2" s="96"/>
    </row>
    <row r="3" spans="1:1127">
      <c r="A3" s="244" t="s">
        <v>165</v>
      </c>
      <c r="B3" s="244"/>
      <c r="C3" s="244"/>
      <c r="D3" s="244"/>
      <c r="E3" s="244"/>
      <c r="G3" s="245" t="s">
        <v>166</v>
      </c>
      <c r="H3" s="248" t="s">
        <v>164</v>
      </c>
      <c r="I3" s="248"/>
      <c r="J3" s="248"/>
      <c r="K3" s="248"/>
      <c r="L3" s="249"/>
      <c r="M3" s="96"/>
      <c r="N3" s="96"/>
      <c r="O3" s="96"/>
      <c r="P3" s="96"/>
      <c r="Q3" s="96"/>
      <c r="R3" s="96"/>
      <c r="S3" s="96"/>
    </row>
    <row r="4" spans="1:1127" ht="25.5">
      <c r="A4" s="97" t="s">
        <v>167</v>
      </c>
      <c r="B4" s="98">
        <f>Meetings!E1</f>
        <v>0</v>
      </c>
      <c r="C4" s="78" t="s">
        <v>168</v>
      </c>
      <c r="D4" s="78">
        <f>Meetings!E1</f>
        <v>0</v>
      </c>
      <c r="E4" s="99" t="s">
        <v>169</v>
      </c>
      <c r="G4" s="246"/>
      <c r="H4" s="250" t="s">
        <v>170</v>
      </c>
      <c r="I4" s="250"/>
      <c r="J4" s="250"/>
      <c r="K4" s="251"/>
      <c r="L4" s="100">
        <f>Meetings!E1</f>
        <v>0</v>
      </c>
      <c r="M4" s="96"/>
      <c r="N4" s="96"/>
      <c r="O4" s="96"/>
      <c r="P4" s="96"/>
      <c r="Q4" s="96"/>
      <c r="R4" s="96"/>
      <c r="S4" s="96"/>
    </row>
    <row r="5" spans="1:1127" ht="38.25">
      <c r="A5" s="97" t="s">
        <v>171</v>
      </c>
      <c r="B5" s="98">
        <f>SUM(Table1[Parent Meetings])</f>
        <v>0</v>
      </c>
      <c r="C5" s="79" t="s">
        <v>172</v>
      </c>
      <c r="D5" s="79">
        <f>SUM(Table1[Parent Meetings])</f>
        <v>0</v>
      </c>
      <c r="E5" s="89" t="s">
        <v>173</v>
      </c>
      <c r="G5" s="246"/>
      <c r="H5" s="250" t="s">
        <v>174</v>
      </c>
      <c r="I5" s="250"/>
      <c r="J5" s="250"/>
      <c r="K5" s="251"/>
      <c r="L5" s="100">
        <f>SUM(Table1[Parent Meetings])</f>
        <v>0</v>
      </c>
      <c r="M5" s="96"/>
      <c r="N5" s="96"/>
      <c r="O5" s="96"/>
      <c r="P5" s="96"/>
      <c r="Q5" s="96"/>
      <c r="R5" s="96"/>
      <c r="S5" s="96"/>
    </row>
    <row r="6" spans="1:1127" ht="39" thickBot="1">
      <c r="A6" s="101" t="s">
        <v>175</v>
      </c>
      <c r="B6" s="102">
        <f>SUM(Table1[Consultations with School Staff])</f>
        <v>0</v>
      </c>
      <c r="C6" s="80" t="s">
        <v>176</v>
      </c>
      <c r="D6" s="80" t="s">
        <v>177</v>
      </c>
      <c r="E6" s="103" t="s">
        <v>173</v>
      </c>
      <c r="G6" s="246"/>
      <c r="H6" s="252" t="s">
        <v>178</v>
      </c>
      <c r="I6" s="252"/>
      <c r="J6" s="252"/>
      <c r="K6" s="253"/>
      <c r="L6" s="104">
        <f>SUM(Table1[Consultations with School Staff])</f>
        <v>0</v>
      </c>
      <c r="M6" s="96"/>
      <c r="N6" s="96"/>
      <c r="O6" s="96"/>
      <c r="P6" s="96"/>
      <c r="Q6" s="96"/>
      <c r="R6" s="96"/>
      <c r="S6" s="96"/>
    </row>
    <row r="7" spans="1:1127">
      <c r="A7" s="254" t="s">
        <v>179</v>
      </c>
      <c r="B7" s="239"/>
      <c r="C7" s="239"/>
      <c r="D7" s="239"/>
      <c r="E7" s="239"/>
      <c r="G7" s="246"/>
      <c r="H7" s="255" t="s">
        <v>179</v>
      </c>
      <c r="I7" s="255"/>
      <c r="J7" s="255"/>
      <c r="K7" s="255"/>
      <c r="L7" s="256"/>
      <c r="M7" s="96"/>
      <c r="N7" s="96"/>
      <c r="O7" s="96"/>
      <c r="P7" s="96"/>
      <c r="Q7" s="96"/>
      <c r="R7" s="96"/>
      <c r="S7" s="96"/>
      <c r="FM7" s="105"/>
      <c r="FN7" s="105"/>
      <c r="FO7" s="105"/>
      <c r="FP7" s="106"/>
      <c r="FQ7" s="238"/>
      <c r="FR7" s="239"/>
      <c r="FS7" s="239"/>
      <c r="FT7" s="239"/>
      <c r="FU7" s="240"/>
      <c r="FV7" s="238"/>
      <c r="FW7" s="239"/>
      <c r="FX7" s="239"/>
      <c r="FY7" s="239"/>
      <c r="FZ7" s="240"/>
      <c r="GA7" s="238"/>
      <c r="GB7" s="239"/>
      <c r="GC7" s="239"/>
      <c r="GD7" s="239"/>
      <c r="GE7" s="240"/>
      <c r="GF7" s="238"/>
      <c r="GG7" s="239"/>
      <c r="GH7" s="239"/>
      <c r="GI7" s="239"/>
      <c r="GJ7" s="240"/>
      <c r="GK7" s="238"/>
      <c r="GL7" s="239"/>
      <c r="GM7" s="239"/>
      <c r="GN7" s="239"/>
      <c r="GO7" s="240"/>
      <c r="GP7" s="238"/>
      <c r="GQ7" s="239"/>
      <c r="GR7" s="239"/>
      <c r="GS7" s="239"/>
      <c r="GT7" s="240"/>
      <c r="GU7" s="238"/>
      <c r="GV7" s="239"/>
      <c r="GW7" s="239"/>
      <c r="GX7" s="239"/>
      <c r="GY7" s="240"/>
      <c r="GZ7" s="238"/>
      <c r="HA7" s="239"/>
      <c r="HB7" s="239"/>
      <c r="HC7" s="239"/>
      <c r="HD7" s="240"/>
      <c r="HE7" s="238"/>
      <c r="HF7" s="239"/>
      <c r="HG7" s="239"/>
      <c r="HH7" s="239"/>
      <c r="HI7" s="240"/>
      <c r="HJ7" s="238"/>
      <c r="HK7" s="239"/>
      <c r="HL7" s="239"/>
      <c r="HM7" s="239"/>
      <c r="HN7" s="240"/>
      <c r="HO7" s="238"/>
      <c r="HP7" s="239"/>
      <c r="HQ7" s="239"/>
      <c r="HR7" s="239"/>
      <c r="HS7" s="240"/>
      <c r="HT7" s="238"/>
      <c r="HU7" s="239"/>
      <c r="HV7" s="239"/>
      <c r="HW7" s="239"/>
      <c r="HX7" s="240"/>
      <c r="HY7" s="238"/>
      <c r="HZ7" s="239"/>
      <c r="IA7" s="239"/>
      <c r="IB7" s="239"/>
      <c r="IC7" s="240"/>
      <c r="ID7" s="238"/>
      <c r="IE7" s="239"/>
      <c r="IF7" s="239"/>
      <c r="IG7" s="239"/>
      <c r="IH7" s="240"/>
      <c r="II7" s="238"/>
      <c r="IJ7" s="239"/>
      <c r="IK7" s="239"/>
      <c r="IL7" s="239"/>
      <c r="IM7" s="240"/>
      <c r="IN7" s="238"/>
      <c r="IO7" s="239"/>
      <c r="IP7" s="239"/>
      <c r="IQ7" s="239"/>
      <c r="IR7" s="240"/>
      <c r="IS7" s="238"/>
      <c r="IT7" s="239"/>
      <c r="IU7" s="239"/>
      <c r="IV7" s="239"/>
      <c r="IW7" s="240"/>
      <c r="IX7" s="238"/>
      <c r="IY7" s="239"/>
      <c r="IZ7" s="239"/>
      <c r="JA7" s="239"/>
      <c r="JB7" s="240"/>
      <c r="JC7" s="238"/>
      <c r="JD7" s="239"/>
      <c r="JE7" s="239"/>
      <c r="JF7" s="239"/>
      <c r="JG7" s="240"/>
      <c r="JH7" s="238"/>
      <c r="JI7" s="239"/>
      <c r="JJ7" s="239"/>
      <c r="JK7" s="239"/>
      <c r="JL7" s="240"/>
      <c r="JM7" s="238"/>
      <c r="JN7" s="239"/>
      <c r="JO7" s="239"/>
      <c r="JP7" s="239"/>
      <c r="JQ7" s="240"/>
      <c r="JR7" s="238"/>
      <c r="JS7" s="239"/>
      <c r="JT7" s="239"/>
      <c r="JU7" s="239"/>
      <c r="JV7" s="240"/>
      <c r="JW7" s="238"/>
      <c r="JX7" s="239"/>
      <c r="JY7" s="239"/>
      <c r="JZ7" s="239"/>
      <c r="KA7" s="240"/>
      <c r="KB7" s="238"/>
      <c r="KC7" s="239"/>
      <c r="KD7" s="239"/>
      <c r="KE7" s="239"/>
      <c r="KF7" s="240"/>
      <c r="KG7" s="238"/>
      <c r="KH7" s="239"/>
      <c r="KI7" s="239"/>
      <c r="KJ7" s="239"/>
      <c r="KK7" s="240"/>
      <c r="KL7" s="238"/>
      <c r="KM7" s="239"/>
      <c r="KN7" s="239"/>
      <c r="KO7" s="239"/>
      <c r="KP7" s="240"/>
      <c r="KQ7" s="238"/>
      <c r="KR7" s="239"/>
      <c r="KS7" s="239"/>
      <c r="KT7" s="239"/>
      <c r="KU7" s="240"/>
      <c r="KV7" s="238"/>
      <c r="KW7" s="239"/>
      <c r="KX7" s="239"/>
      <c r="KY7" s="239"/>
      <c r="KZ7" s="240"/>
      <c r="LA7" s="238"/>
      <c r="LB7" s="239"/>
      <c r="LC7" s="239"/>
      <c r="LD7" s="239"/>
      <c r="LE7" s="240"/>
      <c r="LF7" s="238"/>
      <c r="LG7" s="239"/>
      <c r="LH7" s="239"/>
      <c r="LI7" s="239"/>
      <c r="LJ7" s="240"/>
      <c r="LK7" s="238"/>
      <c r="LL7" s="239"/>
      <c r="LM7" s="239"/>
      <c r="LN7" s="239"/>
      <c r="LO7" s="240"/>
      <c r="LP7" s="238"/>
      <c r="LQ7" s="239"/>
      <c r="LR7" s="239"/>
      <c r="LS7" s="239"/>
      <c r="LT7" s="240"/>
      <c r="LU7" s="238"/>
      <c r="LV7" s="239"/>
      <c r="LW7" s="239"/>
      <c r="LX7" s="239"/>
      <c r="LY7" s="240"/>
      <c r="LZ7" s="238"/>
      <c r="MA7" s="239"/>
      <c r="MB7" s="239"/>
      <c r="MC7" s="239"/>
      <c r="MD7" s="240"/>
      <c r="ME7" s="238"/>
      <c r="MF7" s="239"/>
      <c r="MG7" s="239"/>
      <c r="MH7" s="239"/>
      <c r="MI7" s="240"/>
      <c r="MJ7" s="238"/>
      <c r="MK7" s="239"/>
      <c r="ML7" s="239"/>
      <c r="MM7" s="239"/>
      <c r="MN7" s="240"/>
      <c r="MO7" s="238"/>
      <c r="MP7" s="239"/>
      <c r="MQ7" s="239"/>
      <c r="MR7" s="239"/>
      <c r="MS7" s="240"/>
      <c r="MT7" s="238"/>
      <c r="MU7" s="239"/>
      <c r="MV7" s="239"/>
      <c r="MW7" s="239"/>
      <c r="MX7" s="240"/>
      <c r="MY7" s="238"/>
      <c r="MZ7" s="239"/>
      <c r="NA7" s="239"/>
      <c r="NB7" s="239"/>
      <c r="NC7" s="240"/>
      <c r="ND7" s="238"/>
      <c r="NE7" s="239"/>
      <c r="NF7" s="239"/>
      <c r="NG7" s="239"/>
      <c r="NH7" s="240"/>
      <c r="NI7" s="238"/>
      <c r="NJ7" s="239"/>
      <c r="NK7" s="239"/>
      <c r="NL7" s="239"/>
      <c r="NM7" s="240"/>
      <c r="NN7" s="238"/>
      <c r="NO7" s="239"/>
      <c r="NP7" s="239"/>
      <c r="NQ7" s="239"/>
      <c r="NR7" s="240"/>
      <c r="NS7" s="238"/>
      <c r="NT7" s="239"/>
      <c r="NU7" s="239"/>
      <c r="NV7" s="239"/>
      <c r="NW7" s="240"/>
      <c r="NX7" s="238"/>
      <c r="NY7" s="239"/>
      <c r="NZ7" s="239"/>
      <c r="OA7" s="239"/>
      <c r="OB7" s="240"/>
      <c r="OC7" s="238"/>
      <c r="OD7" s="239"/>
      <c r="OE7" s="239"/>
      <c r="OF7" s="239"/>
      <c r="OG7" s="240"/>
      <c r="OH7" s="238"/>
      <c r="OI7" s="239"/>
      <c r="OJ7" s="239"/>
      <c r="OK7" s="239"/>
      <c r="OL7" s="240"/>
      <c r="OM7" s="238"/>
      <c r="ON7" s="239"/>
      <c r="OO7" s="239"/>
      <c r="OP7" s="239"/>
      <c r="OQ7" s="240"/>
      <c r="OR7" s="238"/>
      <c r="OS7" s="239"/>
      <c r="OT7" s="239"/>
      <c r="OU7" s="239"/>
      <c r="OV7" s="240"/>
      <c r="OW7" s="238"/>
      <c r="OX7" s="239"/>
      <c r="OY7" s="239"/>
      <c r="OZ7" s="239"/>
      <c r="PA7" s="240"/>
      <c r="PB7" s="238"/>
      <c r="PC7" s="239"/>
      <c r="PD7" s="239"/>
      <c r="PE7" s="239"/>
      <c r="PF7" s="240"/>
      <c r="PG7" s="238"/>
      <c r="PH7" s="239"/>
      <c r="PI7" s="239"/>
      <c r="PJ7" s="239"/>
      <c r="PK7" s="240"/>
      <c r="PL7" s="238"/>
      <c r="PM7" s="239"/>
      <c r="PN7" s="239"/>
      <c r="PO7" s="239"/>
      <c r="PP7" s="240"/>
      <c r="PQ7" s="238"/>
      <c r="PR7" s="239"/>
      <c r="PS7" s="239"/>
      <c r="PT7" s="239"/>
      <c r="PU7" s="240"/>
      <c r="PV7" s="238"/>
      <c r="PW7" s="239"/>
      <c r="PX7" s="239"/>
      <c r="PY7" s="239"/>
      <c r="PZ7" s="240"/>
      <c r="QA7" s="238"/>
      <c r="QB7" s="239"/>
      <c r="QC7" s="239"/>
      <c r="QD7" s="239"/>
      <c r="QE7" s="240"/>
      <c r="QF7" s="238"/>
      <c r="QG7" s="239"/>
      <c r="QH7" s="239"/>
      <c r="QI7" s="239"/>
      <c r="QJ7" s="240"/>
      <c r="QK7" s="238"/>
      <c r="QL7" s="239"/>
      <c r="QM7" s="239"/>
      <c r="QN7" s="239"/>
      <c r="QO7" s="240"/>
      <c r="QP7" s="238"/>
      <c r="QQ7" s="239"/>
      <c r="QR7" s="239"/>
      <c r="QS7" s="239"/>
      <c r="QT7" s="240"/>
      <c r="QU7" s="238"/>
      <c r="QV7" s="239"/>
      <c r="QW7" s="239"/>
      <c r="QX7" s="239"/>
      <c r="QY7" s="240"/>
      <c r="QZ7" s="238"/>
      <c r="RA7" s="239"/>
      <c r="RB7" s="239"/>
      <c r="RC7" s="239"/>
      <c r="RD7" s="240"/>
      <c r="RE7" s="238"/>
      <c r="RF7" s="239"/>
      <c r="RG7" s="239"/>
      <c r="RH7" s="239"/>
      <c r="RI7" s="240"/>
      <c r="RJ7" s="238"/>
      <c r="RK7" s="239"/>
      <c r="RL7" s="239"/>
      <c r="RM7" s="239"/>
      <c r="RN7" s="240"/>
      <c r="RO7" s="238"/>
      <c r="RP7" s="239"/>
      <c r="RQ7" s="239"/>
      <c r="RR7" s="239"/>
      <c r="RS7" s="240"/>
      <c r="RT7" s="238"/>
      <c r="RU7" s="239"/>
      <c r="RV7" s="239"/>
      <c r="RW7" s="239"/>
      <c r="RX7" s="240"/>
      <c r="RY7" s="238"/>
      <c r="RZ7" s="239"/>
      <c r="SA7" s="239"/>
      <c r="SB7" s="239"/>
      <c r="SC7" s="240"/>
      <c r="SD7" s="238"/>
      <c r="SE7" s="239"/>
      <c r="SF7" s="239"/>
      <c r="SG7" s="239"/>
      <c r="SH7" s="240"/>
      <c r="SI7" s="238"/>
      <c r="SJ7" s="239"/>
      <c r="SK7" s="239"/>
      <c r="SL7" s="239"/>
      <c r="SM7" s="240"/>
      <c r="SN7" s="238"/>
      <c r="SO7" s="239"/>
      <c r="SP7" s="239"/>
      <c r="SQ7" s="239"/>
      <c r="SR7" s="240"/>
      <c r="SS7" s="238"/>
      <c r="ST7" s="239"/>
      <c r="SU7" s="239"/>
      <c r="SV7" s="239"/>
      <c r="SW7" s="240"/>
      <c r="SX7" s="238"/>
      <c r="SY7" s="239"/>
      <c r="SZ7" s="239"/>
      <c r="TA7" s="239"/>
      <c r="TB7" s="240"/>
      <c r="TC7" s="238"/>
      <c r="TD7" s="239"/>
      <c r="TE7" s="239"/>
      <c r="TF7" s="239"/>
      <c r="TG7" s="240"/>
      <c r="TH7" s="238"/>
      <c r="TI7" s="239"/>
      <c r="TJ7" s="239"/>
      <c r="TK7" s="239"/>
      <c r="TL7" s="240"/>
      <c r="TM7" s="238"/>
      <c r="TN7" s="239"/>
      <c r="TO7" s="239"/>
      <c r="TP7" s="239"/>
      <c r="TQ7" s="240"/>
      <c r="TR7" s="238"/>
      <c r="TS7" s="239"/>
      <c r="TT7" s="239"/>
      <c r="TU7" s="239"/>
      <c r="TV7" s="240"/>
      <c r="TW7" s="238"/>
      <c r="TX7" s="239"/>
      <c r="TY7" s="239"/>
      <c r="TZ7" s="239"/>
      <c r="UA7" s="240"/>
      <c r="UB7" s="238"/>
      <c r="UC7" s="239"/>
      <c r="UD7" s="239"/>
      <c r="UE7" s="239"/>
      <c r="UF7" s="240"/>
      <c r="UG7" s="238"/>
      <c r="UH7" s="239"/>
      <c r="UI7" s="239"/>
      <c r="UJ7" s="239"/>
      <c r="UK7" s="240"/>
      <c r="UL7" s="238"/>
      <c r="UM7" s="239"/>
      <c r="UN7" s="239"/>
      <c r="UO7" s="239"/>
      <c r="UP7" s="240"/>
      <c r="UQ7" s="238"/>
      <c r="UR7" s="239"/>
      <c r="US7" s="239"/>
      <c r="UT7" s="239"/>
      <c r="UU7" s="240"/>
      <c r="UV7" s="238"/>
      <c r="UW7" s="239"/>
      <c r="UX7" s="239"/>
      <c r="UY7" s="239"/>
      <c r="UZ7" s="240"/>
      <c r="VA7" s="238"/>
      <c r="VB7" s="239"/>
      <c r="VC7" s="239"/>
      <c r="VD7" s="239"/>
      <c r="VE7" s="240"/>
      <c r="VF7" s="238"/>
      <c r="VG7" s="239"/>
      <c r="VH7" s="239"/>
      <c r="VI7" s="239"/>
      <c r="VJ7" s="240"/>
      <c r="VK7" s="238"/>
      <c r="VL7" s="239"/>
      <c r="VM7" s="239"/>
      <c r="VN7" s="239"/>
      <c r="VO7" s="240"/>
      <c r="VP7" s="238"/>
      <c r="VQ7" s="239"/>
      <c r="VR7" s="239"/>
      <c r="VS7" s="239"/>
      <c r="VT7" s="240"/>
      <c r="VU7" s="238"/>
      <c r="VV7" s="239"/>
      <c r="VW7" s="239"/>
      <c r="VX7" s="239"/>
      <c r="VY7" s="240"/>
      <c r="VZ7" s="238"/>
      <c r="WA7" s="239"/>
      <c r="WB7" s="239"/>
      <c r="WC7" s="239"/>
      <c r="WD7" s="240"/>
      <c r="WE7" s="238"/>
      <c r="WF7" s="239"/>
      <c r="WG7" s="239"/>
      <c r="WH7" s="239"/>
      <c r="WI7" s="240"/>
      <c r="WJ7" s="238"/>
      <c r="WK7" s="239"/>
      <c r="WL7" s="239"/>
      <c r="WM7" s="239"/>
      <c r="WN7" s="240"/>
      <c r="WO7" s="238"/>
      <c r="WP7" s="239"/>
      <c r="WQ7" s="239"/>
      <c r="WR7" s="239"/>
      <c r="WS7" s="240"/>
      <c r="WT7" s="238"/>
      <c r="WU7" s="239"/>
      <c r="WV7" s="239"/>
      <c r="WW7" s="239"/>
      <c r="WX7" s="240"/>
      <c r="WY7" s="238"/>
      <c r="WZ7" s="239"/>
      <c r="XA7" s="239"/>
      <c r="XB7" s="239"/>
      <c r="XC7" s="240"/>
      <c r="XD7" s="238"/>
      <c r="XE7" s="239"/>
      <c r="XF7" s="239"/>
      <c r="XG7" s="239"/>
      <c r="XH7" s="240"/>
      <c r="XI7" s="238"/>
      <c r="XJ7" s="239"/>
      <c r="XK7" s="239"/>
      <c r="XL7" s="239"/>
      <c r="XM7" s="240"/>
      <c r="XN7" s="238"/>
      <c r="XO7" s="239"/>
      <c r="XP7" s="239"/>
      <c r="XQ7" s="239"/>
      <c r="XR7" s="240"/>
      <c r="XS7" s="238"/>
      <c r="XT7" s="239"/>
      <c r="XU7" s="239"/>
      <c r="XV7" s="239"/>
      <c r="XW7" s="240"/>
      <c r="XX7" s="238"/>
      <c r="XY7" s="239"/>
      <c r="XZ7" s="239"/>
      <c r="YA7" s="239"/>
      <c r="YB7" s="240"/>
      <c r="YC7" s="238"/>
      <c r="YD7" s="239"/>
      <c r="YE7" s="239"/>
      <c r="YF7" s="239"/>
      <c r="YG7" s="240"/>
      <c r="YH7" s="238"/>
      <c r="YI7" s="239"/>
      <c r="YJ7" s="239"/>
      <c r="YK7" s="239"/>
      <c r="YL7" s="240"/>
      <c r="YM7" s="238"/>
      <c r="YN7" s="239"/>
      <c r="YO7" s="239"/>
      <c r="YP7" s="239"/>
      <c r="YQ7" s="240"/>
      <c r="YR7" s="238"/>
      <c r="YS7" s="239"/>
      <c r="YT7" s="239"/>
      <c r="YU7" s="239"/>
      <c r="YV7" s="240"/>
      <c r="YW7" s="238"/>
      <c r="YX7" s="239"/>
      <c r="YY7" s="239"/>
      <c r="YZ7" s="239"/>
      <c r="ZA7" s="240"/>
      <c r="ZB7" s="238"/>
      <c r="ZC7" s="239"/>
      <c r="ZD7" s="239"/>
      <c r="ZE7" s="239"/>
      <c r="ZF7" s="240"/>
      <c r="ZG7" s="238"/>
      <c r="ZH7" s="239"/>
      <c r="ZI7" s="239"/>
      <c r="ZJ7" s="239"/>
      <c r="ZK7" s="240"/>
      <c r="ZL7" s="238"/>
      <c r="ZM7" s="239"/>
      <c r="ZN7" s="239"/>
      <c r="ZO7" s="239"/>
      <c r="ZP7" s="240"/>
      <c r="ZQ7" s="238"/>
      <c r="ZR7" s="239"/>
      <c r="ZS7" s="239"/>
      <c r="ZT7" s="239"/>
      <c r="ZU7" s="240"/>
      <c r="ZV7" s="238"/>
      <c r="ZW7" s="239"/>
      <c r="ZX7" s="239"/>
      <c r="ZY7" s="239"/>
      <c r="ZZ7" s="240"/>
      <c r="AAA7" s="238"/>
      <c r="AAB7" s="239"/>
      <c r="AAC7" s="239"/>
      <c r="AAD7" s="239"/>
      <c r="AAE7" s="240"/>
      <c r="AAF7" s="238"/>
      <c r="AAG7" s="239"/>
      <c r="AAH7" s="239"/>
      <c r="AAI7" s="239"/>
      <c r="AAJ7" s="240"/>
      <c r="AAK7" s="238"/>
      <c r="AAL7" s="239"/>
      <c r="AAM7" s="239"/>
      <c r="AAN7" s="239"/>
      <c r="AAO7" s="240"/>
      <c r="AAP7" s="238"/>
      <c r="AAQ7" s="239"/>
      <c r="AAR7" s="239"/>
      <c r="AAS7" s="239"/>
      <c r="AAT7" s="240"/>
      <c r="AAU7" s="238"/>
      <c r="AAV7" s="239"/>
      <c r="AAW7" s="239"/>
      <c r="AAX7" s="239"/>
      <c r="AAY7" s="240"/>
      <c r="AAZ7" s="238"/>
      <c r="ABA7" s="239"/>
      <c r="ABB7" s="239"/>
      <c r="ABC7" s="239"/>
      <c r="ABD7" s="240"/>
      <c r="ABE7" s="238"/>
      <c r="ABF7" s="239"/>
      <c r="ABG7" s="239"/>
      <c r="ABH7" s="239"/>
      <c r="ABI7" s="240"/>
      <c r="ABJ7" s="238"/>
      <c r="ABK7" s="239"/>
      <c r="ABL7" s="239"/>
      <c r="ABM7" s="239"/>
      <c r="ABN7" s="240"/>
      <c r="ABO7" s="238"/>
      <c r="ABP7" s="239"/>
      <c r="ABQ7" s="239"/>
      <c r="ABR7" s="239"/>
      <c r="ABS7" s="240"/>
      <c r="ABT7" s="238"/>
      <c r="ABU7" s="239"/>
      <c r="ABV7" s="239"/>
      <c r="ABW7" s="239"/>
      <c r="ABX7" s="240"/>
      <c r="ABY7" s="238"/>
      <c r="ABZ7" s="239"/>
      <c r="ACA7" s="239"/>
      <c r="ACB7" s="239"/>
      <c r="ACC7" s="240"/>
      <c r="ACD7" s="238"/>
      <c r="ACE7" s="239"/>
      <c r="ACF7" s="239"/>
      <c r="ACG7" s="239"/>
      <c r="ACH7" s="240"/>
      <c r="ACI7" s="238"/>
      <c r="ACJ7" s="239"/>
      <c r="ACK7" s="239"/>
      <c r="ACL7" s="239"/>
      <c r="ACM7" s="240"/>
      <c r="ACN7" s="238"/>
      <c r="ACO7" s="239"/>
      <c r="ACP7" s="239"/>
      <c r="ACQ7" s="239"/>
      <c r="ACR7" s="240"/>
      <c r="ACS7" s="238"/>
      <c r="ACT7" s="239"/>
      <c r="ACU7" s="239"/>
      <c r="ACV7" s="239"/>
      <c r="ACW7" s="240"/>
      <c r="ACX7" s="238"/>
      <c r="ACY7" s="239"/>
      <c r="ACZ7" s="239"/>
      <c r="ADA7" s="239"/>
      <c r="ADB7" s="240"/>
      <c r="ADC7" s="238"/>
      <c r="ADD7" s="239"/>
      <c r="ADE7" s="239"/>
      <c r="ADF7" s="239"/>
      <c r="ADG7" s="240"/>
      <c r="ADH7" s="238"/>
      <c r="ADI7" s="239"/>
      <c r="ADJ7" s="239"/>
      <c r="ADK7" s="239"/>
      <c r="ADL7" s="240"/>
      <c r="ADM7" s="238"/>
      <c r="ADN7" s="239"/>
      <c r="ADO7" s="239"/>
      <c r="ADP7" s="239"/>
      <c r="ADQ7" s="240"/>
      <c r="ADR7" s="238"/>
      <c r="ADS7" s="239"/>
      <c r="ADT7" s="239"/>
      <c r="ADU7" s="239"/>
      <c r="ADV7" s="240"/>
      <c r="ADW7" s="238"/>
      <c r="ADX7" s="239"/>
      <c r="ADY7" s="239"/>
      <c r="ADZ7" s="239"/>
      <c r="AEA7" s="240"/>
      <c r="AEB7" s="238"/>
      <c r="AEC7" s="239"/>
      <c r="AED7" s="239"/>
      <c r="AEE7" s="239"/>
      <c r="AEF7" s="240"/>
      <c r="AEG7" s="238"/>
      <c r="AEH7" s="239"/>
      <c r="AEI7" s="239"/>
      <c r="AEJ7" s="239"/>
      <c r="AEK7" s="240"/>
      <c r="AEL7" s="238"/>
      <c r="AEM7" s="239"/>
      <c r="AEN7" s="239"/>
      <c r="AEO7" s="239"/>
      <c r="AEP7" s="240"/>
      <c r="AEQ7" s="238"/>
      <c r="AER7" s="239"/>
      <c r="AES7" s="239"/>
      <c r="AET7" s="239"/>
      <c r="AEU7" s="240"/>
      <c r="AEV7" s="238"/>
      <c r="AEW7" s="239"/>
      <c r="AEX7" s="239"/>
      <c r="AEY7" s="239"/>
      <c r="AEZ7" s="240"/>
      <c r="AFA7" s="238"/>
      <c r="AFB7" s="239"/>
      <c r="AFC7" s="239"/>
      <c r="AFD7" s="239"/>
      <c r="AFE7" s="240"/>
      <c r="AFF7" s="238"/>
      <c r="AFG7" s="239"/>
      <c r="AFH7" s="239"/>
      <c r="AFI7" s="239"/>
      <c r="AFJ7" s="240"/>
      <c r="AFK7" s="238"/>
      <c r="AFL7" s="239"/>
      <c r="AFM7" s="239"/>
      <c r="AFN7" s="239"/>
      <c r="AFO7" s="240"/>
      <c r="AFP7" s="238"/>
      <c r="AFQ7" s="239"/>
      <c r="AFR7" s="239"/>
      <c r="AFS7" s="239"/>
      <c r="AFT7" s="240"/>
      <c r="AFU7" s="238"/>
      <c r="AFV7" s="239"/>
      <c r="AFW7" s="239"/>
      <c r="AFX7" s="239"/>
      <c r="AFY7" s="240"/>
      <c r="AFZ7" s="238"/>
      <c r="AGA7" s="239"/>
      <c r="AGB7" s="239"/>
      <c r="AGC7" s="239"/>
      <c r="AGD7" s="240"/>
      <c r="AGE7" s="238"/>
      <c r="AGF7" s="239"/>
      <c r="AGG7" s="239"/>
      <c r="AGH7" s="239"/>
      <c r="AGI7" s="240"/>
      <c r="AGJ7" s="238"/>
      <c r="AGK7" s="239"/>
      <c r="AGL7" s="239"/>
      <c r="AGM7" s="239"/>
      <c r="AGN7" s="240"/>
      <c r="AGO7" s="238"/>
      <c r="AGP7" s="239"/>
      <c r="AGQ7" s="239"/>
      <c r="AGR7" s="239"/>
      <c r="AGS7" s="240"/>
      <c r="AGT7" s="238"/>
      <c r="AGU7" s="239"/>
      <c r="AGV7" s="239"/>
      <c r="AGW7" s="239"/>
      <c r="AGX7" s="240"/>
      <c r="AGY7" s="238"/>
      <c r="AGZ7" s="239"/>
      <c r="AHA7" s="239"/>
      <c r="AHB7" s="239"/>
      <c r="AHC7" s="240"/>
      <c r="AHD7" s="238"/>
      <c r="AHE7" s="239"/>
      <c r="AHF7" s="239"/>
      <c r="AHG7" s="239"/>
      <c r="AHH7" s="240"/>
      <c r="AHI7" s="238"/>
      <c r="AHJ7" s="239"/>
      <c r="AHK7" s="239"/>
      <c r="AHL7" s="239"/>
      <c r="AHM7" s="240"/>
      <c r="AHN7" s="238"/>
      <c r="AHO7" s="239"/>
      <c r="AHP7" s="239"/>
      <c r="AHQ7" s="239"/>
      <c r="AHR7" s="240"/>
      <c r="AHS7" s="238"/>
      <c r="AHT7" s="239"/>
      <c r="AHU7" s="239"/>
      <c r="AHV7" s="239"/>
      <c r="AHW7" s="240"/>
      <c r="AHX7" s="238"/>
      <c r="AHY7" s="239"/>
      <c r="AHZ7" s="239"/>
      <c r="AIA7" s="239"/>
      <c r="AIB7" s="240"/>
      <c r="AIC7" s="238"/>
      <c r="AID7" s="239"/>
      <c r="AIE7" s="239"/>
      <c r="AIF7" s="239"/>
      <c r="AIG7" s="240"/>
      <c r="AIH7" s="238"/>
      <c r="AII7" s="239"/>
      <c r="AIJ7" s="239"/>
      <c r="AIK7" s="239"/>
      <c r="AIL7" s="240"/>
      <c r="AIM7" s="238"/>
      <c r="AIN7" s="239"/>
      <c r="AIO7" s="239"/>
      <c r="AIP7" s="239"/>
      <c r="AIQ7" s="240"/>
      <c r="AIR7" s="238"/>
      <c r="AIS7" s="239"/>
      <c r="AIT7" s="239"/>
      <c r="AIU7" s="239"/>
      <c r="AIV7" s="240"/>
      <c r="AIW7" s="238"/>
      <c r="AIX7" s="239"/>
      <c r="AIY7" s="239"/>
      <c r="AIZ7" s="239"/>
      <c r="AJA7" s="240"/>
      <c r="AJB7" s="238"/>
      <c r="AJC7" s="239"/>
      <c r="AJD7" s="239"/>
      <c r="AJE7" s="239"/>
      <c r="AJF7" s="240"/>
      <c r="AJG7" s="238"/>
      <c r="AJH7" s="239"/>
      <c r="AJI7" s="239"/>
      <c r="AJJ7" s="239"/>
      <c r="AJK7" s="240"/>
      <c r="AJL7" s="238"/>
      <c r="AJM7" s="239"/>
      <c r="AJN7" s="239"/>
      <c r="AJO7" s="239"/>
      <c r="AJP7" s="240"/>
      <c r="AJQ7" s="238"/>
      <c r="AJR7" s="239"/>
      <c r="AJS7" s="239"/>
      <c r="AJT7" s="239"/>
      <c r="AJU7" s="240"/>
      <c r="AJV7" s="238"/>
      <c r="AJW7" s="239"/>
      <c r="AJX7" s="239"/>
      <c r="AJY7" s="239"/>
      <c r="AJZ7" s="240"/>
      <c r="AKA7" s="238"/>
      <c r="AKB7" s="239"/>
      <c r="AKC7" s="239"/>
      <c r="AKD7" s="239"/>
      <c r="AKE7" s="240"/>
      <c r="AKF7" s="238"/>
      <c r="AKG7" s="239"/>
      <c r="AKH7" s="239"/>
      <c r="AKI7" s="239"/>
      <c r="AKJ7" s="240"/>
      <c r="AKK7" s="238"/>
      <c r="AKL7" s="239"/>
      <c r="AKM7" s="239"/>
      <c r="AKN7" s="239"/>
      <c r="AKO7" s="240"/>
      <c r="AKP7" s="238"/>
      <c r="AKQ7" s="239"/>
      <c r="AKR7" s="239"/>
      <c r="AKS7" s="239"/>
      <c r="AKT7" s="240"/>
      <c r="AKU7" s="238"/>
      <c r="AKV7" s="239"/>
      <c r="AKW7" s="239"/>
      <c r="AKX7" s="239"/>
      <c r="AKY7" s="240"/>
      <c r="AKZ7" s="238"/>
      <c r="ALA7" s="239"/>
      <c r="ALB7" s="239"/>
      <c r="ALC7" s="239"/>
      <c r="ALD7" s="240"/>
      <c r="ALE7" s="238"/>
      <c r="ALF7" s="239"/>
      <c r="ALG7" s="239"/>
      <c r="ALH7" s="239"/>
      <c r="ALI7" s="240"/>
      <c r="ALJ7" s="238"/>
      <c r="ALK7" s="239"/>
      <c r="ALL7" s="239"/>
      <c r="ALM7" s="239"/>
      <c r="ALN7" s="240"/>
      <c r="ALO7" s="238"/>
      <c r="ALP7" s="239"/>
      <c r="ALQ7" s="239"/>
      <c r="ALR7" s="239"/>
      <c r="ALS7" s="240"/>
      <c r="ALT7" s="238"/>
      <c r="ALU7" s="239"/>
      <c r="ALV7" s="239"/>
      <c r="ALW7" s="239"/>
      <c r="ALX7" s="240"/>
      <c r="ALY7" s="238"/>
      <c r="ALZ7" s="239"/>
      <c r="AMA7" s="239"/>
      <c r="AMB7" s="239"/>
      <c r="AMC7" s="240"/>
      <c r="AMD7" s="238"/>
      <c r="AME7" s="239"/>
      <c r="AMF7" s="239"/>
      <c r="AMG7" s="239"/>
      <c r="AMH7" s="240"/>
      <c r="AMI7" s="238"/>
      <c r="AMJ7" s="239"/>
      <c r="AMK7" s="239"/>
      <c r="AML7" s="239"/>
      <c r="AMM7" s="240"/>
      <c r="AMN7" s="238"/>
      <c r="AMO7" s="239"/>
      <c r="AMP7" s="239"/>
      <c r="AMQ7" s="239"/>
      <c r="AMR7" s="240"/>
      <c r="AMS7" s="238"/>
      <c r="AMT7" s="239"/>
      <c r="AMU7" s="239"/>
      <c r="AMV7" s="239"/>
      <c r="AMW7" s="240"/>
      <c r="AMX7" s="238"/>
      <c r="AMY7" s="239"/>
      <c r="AMZ7" s="239"/>
      <c r="ANA7" s="239"/>
      <c r="ANB7" s="240"/>
      <c r="ANC7" s="238"/>
      <c r="AND7" s="239"/>
      <c r="ANE7" s="239"/>
      <c r="ANF7" s="239"/>
      <c r="ANG7" s="240"/>
      <c r="ANH7" s="238"/>
      <c r="ANI7" s="239"/>
      <c r="ANJ7" s="239"/>
      <c r="ANK7" s="239"/>
      <c r="ANL7" s="240"/>
      <c r="ANM7" s="238"/>
      <c r="ANN7" s="239"/>
      <c r="ANO7" s="239"/>
      <c r="ANP7" s="239"/>
      <c r="ANQ7" s="240"/>
      <c r="ANR7" s="238"/>
      <c r="ANS7" s="239"/>
      <c r="ANT7" s="239"/>
      <c r="ANU7" s="239"/>
      <c r="ANV7" s="240"/>
      <c r="ANW7" s="238"/>
      <c r="ANX7" s="239"/>
      <c r="ANY7" s="239"/>
      <c r="ANZ7" s="239"/>
      <c r="AOA7" s="240"/>
      <c r="AOB7" s="238"/>
      <c r="AOC7" s="239"/>
      <c r="AOD7" s="239"/>
      <c r="AOE7" s="239"/>
      <c r="AOF7" s="240"/>
      <c r="AOG7" s="238"/>
      <c r="AOH7" s="239"/>
      <c r="AOI7" s="239"/>
      <c r="AOJ7" s="239"/>
      <c r="AOK7" s="240"/>
      <c r="AOL7" s="238"/>
      <c r="AOM7" s="239"/>
      <c r="AON7" s="239"/>
      <c r="AOO7" s="239"/>
      <c r="AOP7" s="240"/>
      <c r="AOQ7" s="238"/>
      <c r="AOR7" s="239"/>
      <c r="AOS7" s="239"/>
      <c r="AOT7" s="239"/>
      <c r="AOU7" s="240"/>
      <c r="AOV7" s="238"/>
      <c r="AOW7" s="239"/>
      <c r="AOX7" s="239"/>
      <c r="AOY7" s="239"/>
      <c r="AOZ7" s="240"/>
      <c r="APA7" s="238"/>
      <c r="APB7" s="239"/>
      <c r="APC7" s="239"/>
      <c r="APD7" s="239"/>
      <c r="APE7" s="240"/>
      <c r="APF7" s="238"/>
      <c r="APG7" s="239"/>
      <c r="APH7" s="239"/>
      <c r="API7" s="239"/>
      <c r="APJ7" s="240"/>
      <c r="APK7" s="238"/>
      <c r="APL7" s="239"/>
      <c r="APM7" s="239"/>
      <c r="APN7" s="239"/>
      <c r="APO7" s="240"/>
      <c r="APP7" s="238"/>
      <c r="APQ7" s="239"/>
      <c r="APR7" s="239"/>
      <c r="APS7" s="239"/>
      <c r="APT7" s="240"/>
      <c r="APU7" s="238"/>
      <c r="APV7" s="239"/>
      <c r="APW7" s="239"/>
      <c r="APX7" s="239"/>
      <c r="APY7" s="240"/>
      <c r="APZ7" s="238"/>
      <c r="AQA7" s="239"/>
      <c r="AQB7" s="239"/>
      <c r="AQC7" s="239"/>
      <c r="AQD7" s="240"/>
      <c r="AQE7" s="238"/>
      <c r="AQF7" s="239"/>
      <c r="AQG7" s="239"/>
      <c r="AQH7" s="239"/>
      <c r="AQI7" s="240"/>
    </row>
    <row r="8" spans="1:1127" ht="24" thickBot="1">
      <c r="A8" s="257" t="s">
        <v>180</v>
      </c>
      <c r="B8" s="258"/>
      <c r="C8" s="258"/>
      <c r="D8" s="258"/>
      <c r="E8" s="258"/>
      <c r="G8" s="246"/>
      <c r="H8" s="250" t="s">
        <v>181</v>
      </c>
      <c r="I8" s="250"/>
      <c r="J8" s="250"/>
      <c r="K8" s="251"/>
      <c r="L8" s="100">
        <f>COUNT(Table8[Suicide Screening Assesment Date])</f>
        <v>0</v>
      </c>
      <c r="M8" s="96"/>
      <c r="N8" s="96"/>
      <c r="O8" s="96"/>
      <c r="P8" s="96"/>
      <c r="Q8" s="96"/>
      <c r="R8" s="96"/>
      <c r="S8" s="96"/>
      <c r="FM8" s="88"/>
      <c r="FN8" s="88"/>
      <c r="FO8" s="88"/>
      <c r="FP8" s="88"/>
      <c r="FQ8" s="232"/>
      <c r="FR8" s="232"/>
      <c r="FS8" s="232"/>
      <c r="FT8" s="232"/>
      <c r="FU8" s="232"/>
      <c r="FV8" s="232"/>
      <c r="FW8" s="232"/>
      <c r="FX8" s="232"/>
      <c r="FY8" s="232"/>
      <c r="FZ8" s="232"/>
      <c r="GA8" s="232"/>
      <c r="GB8" s="232"/>
      <c r="GC8" s="232"/>
      <c r="GD8" s="232"/>
      <c r="GE8" s="232"/>
      <c r="GF8" s="232"/>
      <c r="GG8" s="232"/>
      <c r="GH8" s="232"/>
      <c r="GI8" s="232"/>
      <c r="GJ8" s="232"/>
      <c r="GK8" s="232"/>
      <c r="GL8" s="232"/>
      <c r="GM8" s="232"/>
      <c r="GN8" s="232"/>
      <c r="GO8" s="232"/>
      <c r="GP8" s="232"/>
      <c r="GQ8" s="232"/>
      <c r="GR8" s="232"/>
      <c r="GS8" s="232"/>
      <c r="GT8" s="232"/>
      <c r="GU8" s="232"/>
      <c r="GV8" s="232"/>
      <c r="GW8" s="232"/>
      <c r="GX8" s="232"/>
      <c r="GY8" s="232"/>
      <c r="GZ8" s="232"/>
      <c r="HA8" s="232"/>
      <c r="HB8" s="232"/>
      <c r="HC8" s="232"/>
      <c r="HD8" s="232"/>
      <c r="HE8" s="232"/>
      <c r="HF8" s="232"/>
      <c r="HG8" s="232"/>
      <c r="HH8" s="232"/>
      <c r="HI8" s="232"/>
      <c r="HJ8" s="232"/>
      <c r="HK8" s="232"/>
      <c r="HL8" s="232"/>
      <c r="HM8" s="232"/>
      <c r="HN8" s="232"/>
      <c r="HO8" s="232"/>
      <c r="HP8" s="232"/>
      <c r="HQ8" s="232"/>
      <c r="HR8" s="232"/>
      <c r="HS8" s="232"/>
      <c r="HT8" s="232"/>
      <c r="HU8" s="232"/>
      <c r="HV8" s="232"/>
      <c r="HW8" s="232"/>
      <c r="HX8" s="232"/>
      <c r="HY8" s="232"/>
      <c r="HZ8" s="232"/>
      <c r="IA8" s="232"/>
      <c r="IB8" s="232"/>
      <c r="IC8" s="232"/>
      <c r="ID8" s="232"/>
      <c r="IE8" s="232"/>
      <c r="IF8" s="232"/>
      <c r="IG8" s="232"/>
      <c r="IH8" s="232"/>
      <c r="II8" s="232"/>
      <c r="IJ8" s="232"/>
      <c r="IK8" s="232"/>
      <c r="IL8" s="232"/>
      <c r="IM8" s="232"/>
      <c r="IN8" s="232"/>
      <c r="IO8" s="232"/>
      <c r="IP8" s="232"/>
      <c r="IQ8" s="232"/>
      <c r="IR8" s="232"/>
      <c r="IS8" s="232"/>
      <c r="IT8" s="232"/>
      <c r="IU8" s="232"/>
      <c r="IV8" s="232"/>
      <c r="IW8" s="232"/>
      <c r="IX8" s="232"/>
      <c r="IY8" s="232"/>
      <c r="IZ8" s="232"/>
      <c r="JA8" s="232"/>
      <c r="JB8" s="232"/>
      <c r="JC8" s="232"/>
      <c r="JD8" s="232"/>
      <c r="JE8" s="232"/>
      <c r="JF8" s="232"/>
      <c r="JG8" s="232"/>
      <c r="JH8" s="232"/>
      <c r="JI8" s="232"/>
      <c r="JJ8" s="232"/>
      <c r="JK8" s="232"/>
      <c r="JL8" s="232"/>
      <c r="JM8" s="232"/>
      <c r="JN8" s="232"/>
      <c r="JO8" s="232"/>
      <c r="JP8" s="232"/>
      <c r="JQ8" s="232"/>
      <c r="JR8" s="232"/>
      <c r="JS8" s="232"/>
      <c r="JT8" s="232"/>
      <c r="JU8" s="232"/>
      <c r="JV8" s="232"/>
      <c r="JW8" s="232"/>
      <c r="JX8" s="232"/>
      <c r="JY8" s="232"/>
      <c r="JZ8" s="232"/>
      <c r="KA8" s="232"/>
      <c r="KB8" s="232"/>
      <c r="KC8" s="232"/>
      <c r="KD8" s="232"/>
      <c r="KE8" s="232"/>
      <c r="KF8" s="232"/>
      <c r="KG8" s="232"/>
      <c r="KH8" s="232"/>
      <c r="KI8" s="232"/>
      <c r="KJ8" s="232"/>
      <c r="KK8" s="232"/>
      <c r="KL8" s="232"/>
      <c r="KM8" s="232"/>
      <c r="KN8" s="232"/>
      <c r="KO8" s="232"/>
      <c r="KP8" s="232"/>
      <c r="KQ8" s="232"/>
      <c r="KR8" s="232"/>
      <c r="KS8" s="232"/>
      <c r="KT8" s="232"/>
      <c r="KU8" s="232"/>
      <c r="KV8" s="232"/>
      <c r="KW8" s="232"/>
      <c r="KX8" s="232"/>
      <c r="KY8" s="232"/>
      <c r="KZ8" s="232"/>
      <c r="LA8" s="232"/>
      <c r="LB8" s="232"/>
      <c r="LC8" s="232"/>
      <c r="LD8" s="232"/>
      <c r="LE8" s="232"/>
      <c r="LF8" s="232"/>
      <c r="LG8" s="232"/>
      <c r="LH8" s="232"/>
      <c r="LI8" s="232"/>
      <c r="LJ8" s="232"/>
      <c r="LK8" s="232"/>
      <c r="LL8" s="232"/>
      <c r="LM8" s="232"/>
      <c r="LN8" s="232"/>
      <c r="LO8" s="232"/>
      <c r="LP8" s="232"/>
      <c r="LQ8" s="232"/>
      <c r="LR8" s="232"/>
      <c r="LS8" s="232"/>
      <c r="LT8" s="232"/>
      <c r="LU8" s="232"/>
      <c r="LV8" s="232"/>
      <c r="LW8" s="232"/>
      <c r="LX8" s="232"/>
      <c r="LY8" s="232"/>
      <c r="LZ8" s="232"/>
      <c r="MA8" s="232"/>
      <c r="MB8" s="232"/>
      <c r="MC8" s="232"/>
      <c r="MD8" s="232"/>
      <c r="ME8" s="232"/>
      <c r="MF8" s="232"/>
      <c r="MG8" s="232"/>
      <c r="MH8" s="232"/>
      <c r="MI8" s="232"/>
      <c r="MJ8" s="232"/>
      <c r="MK8" s="232"/>
      <c r="ML8" s="232"/>
      <c r="MM8" s="232"/>
      <c r="MN8" s="232"/>
      <c r="MO8" s="232"/>
      <c r="MP8" s="232"/>
      <c r="MQ8" s="232"/>
      <c r="MR8" s="232"/>
      <c r="MS8" s="232"/>
      <c r="MT8" s="232"/>
      <c r="MU8" s="232"/>
      <c r="MV8" s="232"/>
      <c r="MW8" s="232"/>
      <c r="MX8" s="232"/>
      <c r="MY8" s="232"/>
      <c r="MZ8" s="232"/>
      <c r="NA8" s="232"/>
      <c r="NB8" s="232"/>
      <c r="NC8" s="232"/>
      <c r="ND8" s="232"/>
      <c r="NE8" s="232"/>
      <c r="NF8" s="232"/>
      <c r="NG8" s="232"/>
      <c r="NH8" s="232"/>
      <c r="NI8" s="232"/>
      <c r="NJ8" s="232"/>
      <c r="NK8" s="232"/>
      <c r="NL8" s="232"/>
      <c r="NM8" s="232"/>
      <c r="NN8" s="232"/>
      <c r="NO8" s="232"/>
      <c r="NP8" s="232"/>
      <c r="NQ8" s="232"/>
      <c r="NR8" s="232"/>
      <c r="NS8" s="232"/>
      <c r="NT8" s="232"/>
      <c r="NU8" s="232"/>
      <c r="NV8" s="232"/>
      <c r="NW8" s="232"/>
      <c r="NX8" s="232"/>
      <c r="NY8" s="232"/>
      <c r="NZ8" s="232"/>
      <c r="OA8" s="232"/>
      <c r="OB8" s="232"/>
      <c r="OC8" s="232"/>
      <c r="OD8" s="232"/>
      <c r="OE8" s="232"/>
      <c r="OF8" s="232"/>
      <c r="OG8" s="232"/>
      <c r="OH8" s="232"/>
      <c r="OI8" s="232"/>
      <c r="OJ8" s="232"/>
      <c r="OK8" s="232"/>
      <c r="OL8" s="232"/>
      <c r="OM8" s="232"/>
      <c r="ON8" s="232"/>
      <c r="OO8" s="232"/>
      <c r="OP8" s="232"/>
      <c r="OQ8" s="232"/>
      <c r="OR8" s="232"/>
      <c r="OS8" s="232"/>
      <c r="OT8" s="232"/>
      <c r="OU8" s="232"/>
      <c r="OV8" s="232"/>
      <c r="OW8" s="232"/>
      <c r="OX8" s="232"/>
      <c r="OY8" s="232"/>
      <c r="OZ8" s="232"/>
      <c r="PA8" s="232"/>
      <c r="PB8" s="232"/>
      <c r="PC8" s="232"/>
      <c r="PD8" s="232"/>
      <c r="PE8" s="232"/>
      <c r="PF8" s="232"/>
      <c r="PG8" s="232"/>
      <c r="PH8" s="232"/>
      <c r="PI8" s="232"/>
      <c r="PJ8" s="232"/>
      <c r="PK8" s="232"/>
      <c r="PL8" s="232"/>
      <c r="PM8" s="232"/>
      <c r="PN8" s="232"/>
      <c r="PO8" s="232"/>
      <c r="PP8" s="232"/>
      <c r="PQ8" s="232"/>
      <c r="PR8" s="232"/>
      <c r="PS8" s="232"/>
      <c r="PT8" s="232"/>
      <c r="PU8" s="232"/>
      <c r="PV8" s="232"/>
      <c r="PW8" s="232"/>
      <c r="PX8" s="232"/>
      <c r="PY8" s="232"/>
      <c r="PZ8" s="232"/>
      <c r="QA8" s="232"/>
      <c r="QB8" s="232"/>
      <c r="QC8" s="232"/>
      <c r="QD8" s="232"/>
      <c r="QE8" s="232"/>
      <c r="QF8" s="232"/>
      <c r="QG8" s="232"/>
      <c r="QH8" s="232"/>
      <c r="QI8" s="232"/>
      <c r="QJ8" s="232"/>
      <c r="QK8" s="232"/>
      <c r="QL8" s="232"/>
      <c r="QM8" s="232"/>
      <c r="QN8" s="232"/>
      <c r="QO8" s="232"/>
      <c r="QP8" s="232"/>
      <c r="QQ8" s="232"/>
      <c r="QR8" s="232"/>
      <c r="QS8" s="232"/>
      <c r="QT8" s="232"/>
      <c r="QU8" s="232"/>
      <c r="QV8" s="232"/>
      <c r="QW8" s="232"/>
      <c r="QX8" s="232"/>
      <c r="QY8" s="232"/>
      <c r="QZ8" s="232"/>
      <c r="RA8" s="232"/>
      <c r="RB8" s="232"/>
      <c r="RC8" s="232"/>
      <c r="RD8" s="232"/>
      <c r="RE8" s="232"/>
      <c r="RF8" s="232"/>
      <c r="RG8" s="232"/>
      <c r="RH8" s="232"/>
      <c r="RI8" s="232"/>
      <c r="RJ8" s="232"/>
      <c r="RK8" s="232"/>
      <c r="RL8" s="232"/>
      <c r="RM8" s="232"/>
      <c r="RN8" s="232"/>
      <c r="RO8" s="232"/>
      <c r="RP8" s="232"/>
      <c r="RQ8" s="232"/>
      <c r="RR8" s="232"/>
      <c r="RS8" s="232"/>
      <c r="RT8" s="232"/>
      <c r="RU8" s="232"/>
      <c r="RV8" s="232"/>
      <c r="RW8" s="232"/>
      <c r="RX8" s="232"/>
      <c r="RY8" s="232"/>
      <c r="RZ8" s="232"/>
      <c r="SA8" s="232"/>
      <c r="SB8" s="232"/>
      <c r="SC8" s="232"/>
      <c r="SD8" s="232"/>
      <c r="SE8" s="232"/>
      <c r="SF8" s="232"/>
      <c r="SG8" s="232"/>
      <c r="SH8" s="232"/>
      <c r="SI8" s="232"/>
      <c r="SJ8" s="232"/>
      <c r="SK8" s="232"/>
      <c r="SL8" s="232"/>
      <c r="SM8" s="232"/>
      <c r="SN8" s="232"/>
      <c r="SO8" s="232"/>
      <c r="SP8" s="232"/>
      <c r="SQ8" s="232"/>
      <c r="SR8" s="232"/>
      <c r="SS8" s="232"/>
      <c r="ST8" s="232"/>
      <c r="SU8" s="232"/>
      <c r="SV8" s="232"/>
      <c r="SW8" s="232"/>
      <c r="SX8" s="232"/>
      <c r="SY8" s="232"/>
      <c r="SZ8" s="232"/>
      <c r="TA8" s="232"/>
      <c r="TB8" s="232"/>
      <c r="TC8" s="232"/>
      <c r="TD8" s="232"/>
      <c r="TE8" s="232"/>
      <c r="TF8" s="232"/>
      <c r="TG8" s="232"/>
      <c r="TH8" s="232"/>
      <c r="TI8" s="232"/>
      <c r="TJ8" s="232"/>
      <c r="TK8" s="232"/>
      <c r="TL8" s="232"/>
      <c r="TM8" s="232"/>
      <c r="TN8" s="232"/>
      <c r="TO8" s="232"/>
      <c r="TP8" s="232"/>
      <c r="TQ8" s="232"/>
      <c r="TR8" s="232"/>
      <c r="TS8" s="232"/>
      <c r="TT8" s="232"/>
      <c r="TU8" s="232"/>
      <c r="TV8" s="232"/>
      <c r="TW8" s="232"/>
      <c r="TX8" s="232"/>
      <c r="TY8" s="232"/>
      <c r="TZ8" s="232"/>
      <c r="UA8" s="232"/>
      <c r="UB8" s="232"/>
      <c r="UC8" s="232"/>
      <c r="UD8" s="232"/>
      <c r="UE8" s="232"/>
      <c r="UF8" s="232"/>
      <c r="UG8" s="232"/>
      <c r="UH8" s="232"/>
      <c r="UI8" s="232"/>
      <c r="UJ8" s="232"/>
      <c r="UK8" s="232"/>
      <c r="UL8" s="232"/>
      <c r="UM8" s="232"/>
      <c r="UN8" s="232"/>
      <c r="UO8" s="232"/>
      <c r="UP8" s="232"/>
      <c r="UQ8" s="232"/>
      <c r="UR8" s="232"/>
      <c r="US8" s="232"/>
      <c r="UT8" s="232"/>
      <c r="UU8" s="232"/>
      <c r="UV8" s="232"/>
      <c r="UW8" s="232"/>
      <c r="UX8" s="232"/>
      <c r="UY8" s="232"/>
      <c r="UZ8" s="232"/>
      <c r="VA8" s="232"/>
      <c r="VB8" s="232"/>
      <c r="VC8" s="232"/>
      <c r="VD8" s="232"/>
      <c r="VE8" s="232"/>
      <c r="VF8" s="232"/>
      <c r="VG8" s="232"/>
      <c r="VH8" s="232"/>
      <c r="VI8" s="232"/>
      <c r="VJ8" s="232"/>
      <c r="VK8" s="232"/>
      <c r="VL8" s="232"/>
      <c r="VM8" s="232"/>
      <c r="VN8" s="232"/>
      <c r="VO8" s="232"/>
      <c r="VP8" s="232"/>
      <c r="VQ8" s="232"/>
      <c r="VR8" s="232"/>
      <c r="VS8" s="232"/>
      <c r="VT8" s="232"/>
      <c r="VU8" s="232"/>
      <c r="VV8" s="232"/>
      <c r="VW8" s="232"/>
      <c r="VX8" s="232"/>
      <c r="VY8" s="232"/>
      <c r="VZ8" s="232"/>
      <c r="WA8" s="232"/>
      <c r="WB8" s="232"/>
      <c r="WC8" s="232"/>
      <c r="WD8" s="232"/>
      <c r="WE8" s="232"/>
      <c r="WF8" s="232"/>
      <c r="WG8" s="232"/>
      <c r="WH8" s="232"/>
      <c r="WI8" s="232"/>
      <c r="WJ8" s="232"/>
      <c r="WK8" s="232"/>
      <c r="WL8" s="232"/>
      <c r="WM8" s="232"/>
      <c r="WN8" s="232"/>
      <c r="WO8" s="232"/>
      <c r="WP8" s="232"/>
      <c r="WQ8" s="232"/>
      <c r="WR8" s="232"/>
      <c r="WS8" s="232"/>
      <c r="WT8" s="232"/>
      <c r="WU8" s="232"/>
      <c r="WV8" s="232"/>
      <c r="WW8" s="232"/>
      <c r="WX8" s="232"/>
      <c r="WY8" s="232"/>
      <c r="WZ8" s="232"/>
      <c r="XA8" s="232"/>
      <c r="XB8" s="232"/>
      <c r="XC8" s="232"/>
      <c r="XD8" s="232"/>
      <c r="XE8" s="232"/>
      <c r="XF8" s="232"/>
      <c r="XG8" s="232"/>
      <c r="XH8" s="232"/>
      <c r="XI8" s="232"/>
      <c r="XJ8" s="232"/>
      <c r="XK8" s="232"/>
      <c r="XL8" s="232"/>
      <c r="XM8" s="232"/>
      <c r="XN8" s="232"/>
      <c r="XO8" s="232"/>
      <c r="XP8" s="232"/>
      <c r="XQ8" s="232"/>
      <c r="XR8" s="232"/>
      <c r="XS8" s="232"/>
      <c r="XT8" s="232"/>
      <c r="XU8" s="232"/>
      <c r="XV8" s="232"/>
      <c r="XW8" s="232"/>
      <c r="XX8" s="232"/>
      <c r="XY8" s="232"/>
      <c r="XZ8" s="232"/>
      <c r="YA8" s="232"/>
      <c r="YB8" s="232"/>
      <c r="YC8" s="232"/>
      <c r="YD8" s="232"/>
      <c r="YE8" s="232"/>
      <c r="YF8" s="232"/>
      <c r="YG8" s="232"/>
      <c r="YH8" s="232"/>
      <c r="YI8" s="232"/>
      <c r="YJ8" s="232"/>
      <c r="YK8" s="232"/>
      <c r="YL8" s="232"/>
      <c r="YM8" s="232"/>
      <c r="YN8" s="232"/>
      <c r="YO8" s="232"/>
      <c r="YP8" s="232"/>
      <c r="YQ8" s="232"/>
      <c r="YR8" s="232"/>
      <c r="YS8" s="232"/>
      <c r="YT8" s="232"/>
      <c r="YU8" s="232"/>
      <c r="YV8" s="232"/>
      <c r="YW8" s="232"/>
      <c r="YX8" s="232"/>
      <c r="YY8" s="232"/>
      <c r="YZ8" s="232"/>
      <c r="ZA8" s="232"/>
      <c r="ZB8" s="232"/>
      <c r="ZC8" s="232"/>
      <c r="ZD8" s="232"/>
      <c r="ZE8" s="232"/>
      <c r="ZF8" s="232"/>
      <c r="ZG8" s="232"/>
      <c r="ZH8" s="232"/>
      <c r="ZI8" s="232"/>
      <c r="ZJ8" s="232"/>
      <c r="ZK8" s="232"/>
      <c r="ZL8" s="232"/>
      <c r="ZM8" s="232"/>
      <c r="ZN8" s="232"/>
      <c r="ZO8" s="232"/>
      <c r="ZP8" s="232"/>
      <c r="ZQ8" s="232"/>
      <c r="ZR8" s="232"/>
      <c r="ZS8" s="232"/>
      <c r="ZT8" s="232"/>
      <c r="ZU8" s="232"/>
      <c r="ZV8" s="232"/>
      <c r="ZW8" s="232"/>
      <c r="ZX8" s="232"/>
      <c r="ZY8" s="232"/>
      <c r="ZZ8" s="232"/>
      <c r="AAA8" s="232"/>
      <c r="AAB8" s="232"/>
      <c r="AAC8" s="232"/>
      <c r="AAD8" s="232"/>
      <c r="AAE8" s="232"/>
      <c r="AAF8" s="232"/>
      <c r="AAG8" s="232"/>
      <c r="AAH8" s="232"/>
      <c r="AAI8" s="232"/>
      <c r="AAJ8" s="232"/>
      <c r="AAK8" s="232"/>
      <c r="AAL8" s="232"/>
      <c r="AAM8" s="232"/>
      <c r="AAN8" s="232"/>
      <c r="AAO8" s="232"/>
      <c r="AAP8" s="232"/>
      <c r="AAQ8" s="232"/>
      <c r="AAR8" s="232"/>
      <c r="AAS8" s="232"/>
      <c r="AAT8" s="232"/>
      <c r="AAU8" s="232"/>
      <c r="AAV8" s="232"/>
      <c r="AAW8" s="232"/>
      <c r="AAX8" s="232"/>
      <c r="AAY8" s="232"/>
      <c r="AAZ8" s="232"/>
      <c r="ABA8" s="232"/>
      <c r="ABB8" s="232"/>
      <c r="ABC8" s="232"/>
      <c r="ABD8" s="232"/>
      <c r="ABE8" s="232"/>
      <c r="ABF8" s="232"/>
      <c r="ABG8" s="232"/>
      <c r="ABH8" s="232"/>
      <c r="ABI8" s="232"/>
      <c r="ABJ8" s="232"/>
      <c r="ABK8" s="232"/>
      <c r="ABL8" s="232"/>
      <c r="ABM8" s="232"/>
      <c r="ABN8" s="232"/>
      <c r="ABO8" s="232"/>
      <c r="ABP8" s="232"/>
      <c r="ABQ8" s="232"/>
      <c r="ABR8" s="232"/>
      <c r="ABS8" s="232"/>
      <c r="ABT8" s="232"/>
      <c r="ABU8" s="232"/>
      <c r="ABV8" s="232"/>
      <c r="ABW8" s="232"/>
      <c r="ABX8" s="232"/>
      <c r="ABY8" s="232"/>
      <c r="ABZ8" s="232"/>
      <c r="ACA8" s="232"/>
      <c r="ACB8" s="232"/>
      <c r="ACC8" s="232"/>
      <c r="ACD8" s="232"/>
      <c r="ACE8" s="232"/>
      <c r="ACF8" s="232"/>
      <c r="ACG8" s="232"/>
      <c r="ACH8" s="232"/>
      <c r="ACI8" s="232"/>
      <c r="ACJ8" s="232"/>
      <c r="ACK8" s="232"/>
      <c r="ACL8" s="232"/>
      <c r="ACM8" s="232"/>
      <c r="ACN8" s="232"/>
      <c r="ACO8" s="232"/>
      <c r="ACP8" s="232"/>
      <c r="ACQ8" s="232"/>
      <c r="ACR8" s="232"/>
      <c r="ACS8" s="232"/>
      <c r="ACT8" s="232"/>
      <c r="ACU8" s="232"/>
      <c r="ACV8" s="232"/>
      <c r="ACW8" s="232"/>
      <c r="ACX8" s="232"/>
      <c r="ACY8" s="232"/>
      <c r="ACZ8" s="232"/>
      <c r="ADA8" s="232"/>
      <c r="ADB8" s="232"/>
      <c r="ADC8" s="232"/>
      <c r="ADD8" s="232"/>
      <c r="ADE8" s="232"/>
      <c r="ADF8" s="232"/>
      <c r="ADG8" s="232"/>
      <c r="ADH8" s="232"/>
      <c r="ADI8" s="232"/>
      <c r="ADJ8" s="232"/>
      <c r="ADK8" s="232"/>
      <c r="ADL8" s="232"/>
      <c r="ADM8" s="232"/>
      <c r="ADN8" s="232"/>
      <c r="ADO8" s="232"/>
      <c r="ADP8" s="232"/>
      <c r="ADQ8" s="232"/>
      <c r="ADR8" s="232"/>
      <c r="ADS8" s="232"/>
      <c r="ADT8" s="232"/>
      <c r="ADU8" s="232"/>
      <c r="ADV8" s="232"/>
      <c r="ADW8" s="232"/>
      <c r="ADX8" s="232"/>
      <c r="ADY8" s="232"/>
      <c r="ADZ8" s="232"/>
      <c r="AEA8" s="232"/>
      <c r="AEB8" s="232"/>
      <c r="AEC8" s="232"/>
      <c r="AED8" s="232"/>
      <c r="AEE8" s="232"/>
      <c r="AEF8" s="232"/>
      <c r="AEG8" s="232"/>
      <c r="AEH8" s="232"/>
      <c r="AEI8" s="232"/>
      <c r="AEJ8" s="232"/>
      <c r="AEK8" s="232"/>
      <c r="AEL8" s="232"/>
      <c r="AEM8" s="232"/>
      <c r="AEN8" s="232"/>
      <c r="AEO8" s="232"/>
      <c r="AEP8" s="232"/>
      <c r="AEQ8" s="232"/>
      <c r="AER8" s="232"/>
      <c r="AES8" s="232"/>
      <c r="AET8" s="232"/>
      <c r="AEU8" s="232"/>
      <c r="AEV8" s="232"/>
      <c r="AEW8" s="232"/>
      <c r="AEX8" s="232"/>
      <c r="AEY8" s="232"/>
      <c r="AEZ8" s="232"/>
      <c r="AFA8" s="232"/>
      <c r="AFB8" s="232"/>
      <c r="AFC8" s="232"/>
      <c r="AFD8" s="232"/>
      <c r="AFE8" s="232"/>
      <c r="AFF8" s="232"/>
      <c r="AFG8" s="232"/>
      <c r="AFH8" s="232"/>
      <c r="AFI8" s="232"/>
      <c r="AFJ8" s="232"/>
      <c r="AFK8" s="232"/>
      <c r="AFL8" s="232"/>
      <c r="AFM8" s="232"/>
      <c r="AFN8" s="232"/>
      <c r="AFO8" s="232"/>
      <c r="AFP8" s="232"/>
      <c r="AFQ8" s="232"/>
      <c r="AFR8" s="232"/>
      <c r="AFS8" s="232"/>
      <c r="AFT8" s="232"/>
      <c r="AFU8" s="232"/>
      <c r="AFV8" s="232"/>
      <c r="AFW8" s="232"/>
      <c r="AFX8" s="232"/>
      <c r="AFY8" s="232"/>
      <c r="AFZ8" s="232"/>
      <c r="AGA8" s="232"/>
      <c r="AGB8" s="232"/>
      <c r="AGC8" s="232"/>
      <c r="AGD8" s="232"/>
      <c r="AGE8" s="232"/>
      <c r="AGF8" s="232"/>
      <c r="AGG8" s="232"/>
      <c r="AGH8" s="232"/>
      <c r="AGI8" s="232"/>
      <c r="AGJ8" s="232"/>
      <c r="AGK8" s="232"/>
      <c r="AGL8" s="232"/>
      <c r="AGM8" s="232"/>
      <c r="AGN8" s="232"/>
      <c r="AGO8" s="232"/>
      <c r="AGP8" s="232"/>
      <c r="AGQ8" s="232"/>
      <c r="AGR8" s="232"/>
      <c r="AGS8" s="232"/>
      <c r="AGT8" s="232"/>
      <c r="AGU8" s="232"/>
      <c r="AGV8" s="232"/>
      <c r="AGW8" s="232"/>
      <c r="AGX8" s="232"/>
      <c r="AGY8" s="232"/>
      <c r="AGZ8" s="232"/>
      <c r="AHA8" s="232"/>
      <c r="AHB8" s="232"/>
      <c r="AHC8" s="232"/>
      <c r="AHD8" s="232"/>
      <c r="AHE8" s="232"/>
      <c r="AHF8" s="232"/>
      <c r="AHG8" s="232"/>
      <c r="AHH8" s="232"/>
      <c r="AHI8" s="232"/>
      <c r="AHJ8" s="232"/>
      <c r="AHK8" s="232"/>
      <c r="AHL8" s="232"/>
      <c r="AHM8" s="232"/>
      <c r="AHN8" s="232"/>
      <c r="AHO8" s="232"/>
      <c r="AHP8" s="232"/>
      <c r="AHQ8" s="232"/>
      <c r="AHR8" s="232"/>
      <c r="AHS8" s="232"/>
      <c r="AHT8" s="232"/>
      <c r="AHU8" s="232"/>
      <c r="AHV8" s="232"/>
      <c r="AHW8" s="232"/>
      <c r="AHX8" s="232"/>
      <c r="AHY8" s="232"/>
      <c r="AHZ8" s="232"/>
      <c r="AIA8" s="232"/>
      <c r="AIB8" s="232"/>
      <c r="AIC8" s="232"/>
      <c r="AID8" s="232"/>
      <c r="AIE8" s="232"/>
      <c r="AIF8" s="232"/>
      <c r="AIG8" s="232"/>
      <c r="AIH8" s="232"/>
      <c r="AII8" s="232"/>
      <c r="AIJ8" s="232"/>
      <c r="AIK8" s="232"/>
      <c r="AIL8" s="232"/>
      <c r="AIM8" s="232"/>
      <c r="AIN8" s="232"/>
      <c r="AIO8" s="232"/>
      <c r="AIP8" s="232"/>
      <c r="AIQ8" s="232"/>
      <c r="AIR8" s="232"/>
      <c r="AIS8" s="232"/>
      <c r="AIT8" s="232"/>
      <c r="AIU8" s="232"/>
      <c r="AIV8" s="232"/>
      <c r="AIW8" s="232"/>
      <c r="AIX8" s="232"/>
      <c r="AIY8" s="232"/>
      <c r="AIZ8" s="232"/>
      <c r="AJA8" s="232"/>
      <c r="AJB8" s="232"/>
      <c r="AJC8" s="232"/>
      <c r="AJD8" s="232"/>
      <c r="AJE8" s="232"/>
      <c r="AJF8" s="232"/>
      <c r="AJG8" s="232"/>
      <c r="AJH8" s="232"/>
      <c r="AJI8" s="232"/>
      <c r="AJJ8" s="232"/>
      <c r="AJK8" s="232"/>
      <c r="AJL8" s="232"/>
      <c r="AJM8" s="232"/>
      <c r="AJN8" s="232"/>
      <c r="AJO8" s="232"/>
      <c r="AJP8" s="232"/>
      <c r="AJQ8" s="232"/>
      <c r="AJR8" s="232"/>
      <c r="AJS8" s="232"/>
      <c r="AJT8" s="232"/>
      <c r="AJU8" s="232"/>
      <c r="AJV8" s="232"/>
      <c r="AJW8" s="232"/>
      <c r="AJX8" s="232"/>
      <c r="AJY8" s="232"/>
      <c r="AJZ8" s="232"/>
      <c r="AKA8" s="232"/>
      <c r="AKB8" s="232"/>
      <c r="AKC8" s="232"/>
      <c r="AKD8" s="232"/>
      <c r="AKE8" s="232"/>
      <c r="AKF8" s="232"/>
      <c r="AKG8" s="232"/>
      <c r="AKH8" s="232"/>
      <c r="AKI8" s="232"/>
      <c r="AKJ8" s="232"/>
      <c r="AKK8" s="232"/>
      <c r="AKL8" s="232"/>
      <c r="AKM8" s="232"/>
      <c r="AKN8" s="232"/>
      <c r="AKO8" s="232"/>
      <c r="AKP8" s="232"/>
      <c r="AKQ8" s="232"/>
      <c r="AKR8" s="232"/>
      <c r="AKS8" s="232"/>
      <c r="AKT8" s="232"/>
      <c r="AKU8" s="232"/>
      <c r="AKV8" s="232"/>
      <c r="AKW8" s="232"/>
      <c r="AKX8" s="232"/>
      <c r="AKY8" s="232"/>
      <c r="AKZ8" s="232"/>
      <c r="ALA8" s="232"/>
      <c r="ALB8" s="232"/>
      <c r="ALC8" s="232"/>
      <c r="ALD8" s="232"/>
      <c r="ALE8" s="232"/>
      <c r="ALF8" s="232"/>
      <c r="ALG8" s="232"/>
      <c r="ALH8" s="232"/>
      <c r="ALI8" s="232"/>
      <c r="ALJ8" s="232"/>
      <c r="ALK8" s="232"/>
      <c r="ALL8" s="232"/>
      <c r="ALM8" s="232"/>
      <c r="ALN8" s="232"/>
      <c r="ALO8" s="232"/>
      <c r="ALP8" s="232"/>
      <c r="ALQ8" s="232"/>
      <c r="ALR8" s="232"/>
      <c r="ALS8" s="232"/>
      <c r="ALT8" s="232"/>
      <c r="ALU8" s="232"/>
      <c r="ALV8" s="232"/>
      <c r="ALW8" s="232"/>
      <c r="ALX8" s="232"/>
      <c r="ALY8" s="232"/>
      <c r="ALZ8" s="232"/>
      <c r="AMA8" s="232"/>
      <c r="AMB8" s="232"/>
      <c r="AMC8" s="232"/>
      <c r="AMD8" s="232"/>
      <c r="AME8" s="232"/>
      <c r="AMF8" s="232"/>
      <c r="AMG8" s="232"/>
      <c r="AMH8" s="232"/>
      <c r="AMI8" s="232"/>
      <c r="AMJ8" s="232"/>
      <c r="AMK8" s="232"/>
      <c r="AML8" s="232"/>
      <c r="AMM8" s="232"/>
      <c r="AMN8" s="232"/>
      <c r="AMO8" s="232"/>
      <c r="AMP8" s="232"/>
      <c r="AMQ8" s="232"/>
      <c r="AMR8" s="232"/>
      <c r="AMS8" s="232"/>
      <c r="AMT8" s="232"/>
      <c r="AMU8" s="232"/>
      <c r="AMV8" s="232"/>
      <c r="AMW8" s="232"/>
      <c r="AMX8" s="232"/>
      <c r="AMY8" s="232"/>
      <c r="AMZ8" s="232"/>
      <c r="ANA8" s="232"/>
      <c r="ANB8" s="232"/>
      <c r="ANC8" s="232"/>
      <c r="AND8" s="232"/>
      <c r="ANE8" s="232"/>
      <c r="ANF8" s="232"/>
      <c r="ANG8" s="232"/>
      <c r="ANH8" s="232"/>
      <c r="ANI8" s="232"/>
      <c r="ANJ8" s="232"/>
      <c r="ANK8" s="232"/>
      <c r="ANL8" s="232"/>
      <c r="ANM8" s="232"/>
      <c r="ANN8" s="232"/>
      <c r="ANO8" s="232"/>
      <c r="ANP8" s="232"/>
      <c r="ANQ8" s="232"/>
      <c r="ANR8" s="232"/>
      <c r="ANS8" s="232"/>
      <c r="ANT8" s="232"/>
      <c r="ANU8" s="232"/>
      <c r="ANV8" s="232"/>
      <c r="ANW8" s="232"/>
      <c r="ANX8" s="232"/>
      <c r="ANY8" s="232"/>
      <c r="ANZ8" s="232"/>
      <c r="AOA8" s="232"/>
      <c r="AOB8" s="232"/>
      <c r="AOC8" s="232"/>
      <c r="AOD8" s="232"/>
      <c r="AOE8" s="232"/>
      <c r="AOF8" s="232"/>
      <c r="AOG8" s="232"/>
      <c r="AOH8" s="232"/>
      <c r="AOI8" s="232"/>
      <c r="AOJ8" s="232"/>
      <c r="AOK8" s="232"/>
      <c r="AOL8" s="232"/>
      <c r="AOM8" s="232"/>
      <c r="AON8" s="232"/>
      <c r="AOO8" s="232"/>
      <c r="AOP8" s="232"/>
      <c r="AOQ8" s="232"/>
      <c r="AOR8" s="232"/>
      <c r="AOS8" s="232"/>
      <c r="AOT8" s="232"/>
      <c r="AOU8" s="232"/>
      <c r="AOV8" s="232"/>
      <c r="AOW8" s="232"/>
      <c r="AOX8" s="232"/>
      <c r="AOY8" s="232"/>
      <c r="AOZ8" s="232"/>
      <c r="APA8" s="232"/>
      <c r="APB8" s="232"/>
      <c r="APC8" s="232"/>
      <c r="APD8" s="232"/>
      <c r="APE8" s="232"/>
      <c r="APF8" s="232"/>
      <c r="APG8" s="232"/>
      <c r="APH8" s="232"/>
      <c r="API8" s="232"/>
      <c r="APJ8" s="232"/>
      <c r="APK8" s="232"/>
      <c r="APL8" s="232"/>
      <c r="APM8" s="232"/>
      <c r="APN8" s="232"/>
      <c r="APO8" s="232"/>
      <c r="APP8" s="232"/>
      <c r="APQ8" s="232"/>
      <c r="APR8" s="232"/>
      <c r="APS8" s="232"/>
      <c r="APT8" s="232"/>
      <c r="APU8" s="232"/>
      <c r="APV8" s="232"/>
      <c r="APW8" s="232"/>
      <c r="APX8" s="232"/>
      <c r="APY8" s="232"/>
      <c r="APZ8" s="232"/>
      <c r="AQA8" s="232"/>
      <c r="AQB8" s="232"/>
      <c r="AQC8" s="232"/>
      <c r="AQD8" s="232"/>
      <c r="AQE8" s="232"/>
      <c r="AQF8" s="232"/>
      <c r="AQG8" s="232"/>
      <c r="AQH8" s="232"/>
      <c r="AQI8" s="232"/>
    </row>
    <row r="9" spans="1:1127" ht="26.25" thickTop="1">
      <c r="A9" s="107" t="s">
        <v>182</v>
      </c>
      <c r="B9" s="108">
        <f>COUNT(Table8[Suicide Screening Assesment Date])</f>
        <v>0</v>
      </c>
      <c r="C9" s="81" t="s">
        <v>183</v>
      </c>
      <c r="D9" s="81" t="s">
        <v>177</v>
      </c>
      <c r="E9" s="82" t="s">
        <v>184</v>
      </c>
      <c r="G9" s="246"/>
      <c r="H9" s="250" t="s">
        <v>185</v>
      </c>
      <c r="I9" s="250"/>
      <c r="J9" s="250"/>
      <c r="K9" s="251"/>
      <c r="L9" s="100">
        <f>COUNTIF(Table8[Current or Recent Suicide Ideation current or recent (within the week prior to screen/assessment)], "Yes")+COUNTIF(Table8[Past History of Suicide Ideation (suicide ideation prior to the past week)],"Yes")</f>
        <v>0</v>
      </c>
      <c r="M9" s="96"/>
      <c r="N9" s="96"/>
      <c r="O9" s="96"/>
      <c r="P9" s="96"/>
      <c r="Q9" s="96"/>
      <c r="R9" s="96"/>
      <c r="S9" s="96"/>
    </row>
    <row r="10" spans="1:1127" ht="39" thickBot="1">
      <c r="A10" s="97" t="s">
        <v>186</v>
      </c>
      <c r="B10" s="98">
        <f>COUNTIF(Table8[Current or Recent Suicide Ideation current or recent (within the week prior to screen/assessment)], "Yes")+COUNTIF(Table8[Past History of Suicide Ideation (suicide ideation prior to the past week)],"Yes")</f>
        <v>0</v>
      </c>
      <c r="C10" s="79" t="s">
        <v>187</v>
      </c>
      <c r="D10" s="79" t="s">
        <v>177</v>
      </c>
      <c r="E10" s="83" t="s">
        <v>188</v>
      </c>
      <c r="G10" s="246"/>
      <c r="H10" s="250" t="s">
        <v>189</v>
      </c>
      <c r="I10" s="250"/>
      <c r="J10" s="250"/>
      <c r="K10" s="251"/>
      <c r="L10" s="109">
        <f>COUNTIF(Table8[Current or Recent Suicide Ideation current or recent (within the week prior to screen/assessment)],"Yes")</f>
        <v>0</v>
      </c>
      <c r="M10" s="96"/>
      <c r="N10" s="96"/>
      <c r="O10" s="96"/>
      <c r="P10" s="96"/>
      <c r="Q10" s="96"/>
      <c r="R10" s="96"/>
      <c r="S10" s="96"/>
    </row>
    <row r="11" spans="1:1127" ht="39.75" thickTop="1" thickBot="1">
      <c r="A11" s="97" t="s">
        <v>190</v>
      </c>
      <c r="B11" s="98">
        <f>COUNTIF(Table8[Current or Recent Suicide Ideation current or recent (within the week prior to screen/assessment)],"Yes")</f>
        <v>0</v>
      </c>
      <c r="C11" s="78" t="s">
        <v>191</v>
      </c>
      <c r="D11" s="78" t="s">
        <v>177</v>
      </c>
      <c r="E11" s="270" t="s">
        <v>192</v>
      </c>
      <c r="G11" s="246"/>
      <c r="H11" s="250" t="s">
        <v>193</v>
      </c>
      <c r="I11" s="250"/>
      <c r="J11" s="250"/>
      <c r="K11" s="251"/>
      <c r="L11" s="109">
        <f>COUNTIF(Table8[Past History of Suicide Ideation (suicide ideation prior to the past week)],"Yes")</f>
        <v>0</v>
      </c>
      <c r="M11" s="96"/>
      <c r="N11" s="96"/>
      <c r="O11" s="96"/>
      <c r="P11" s="96"/>
      <c r="Q11" s="96"/>
      <c r="R11" s="96"/>
      <c r="S11" s="96"/>
    </row>
    <row r="12" spans="1:1127" ht="39.75" thickTop="1" thickBot="1">
      <c r="A12" s="97" t="s">
        <v>194</v>
      </c>
      <c r="B12" s="98">
        <f>COUNTIF(Table8[Past History of Suicide Ideation (suicide ideation prior to the past week)],"Yes")</f>
        <v>0</v>
      </c>
      <c r="C12" s="79" t="s">
        <v>195</v>
      </c>
      <c r="D12" s="79" t="s">
        <v>177</v>
      </c>
      <c r="E12" s="270"/>
      <c r="G12" s="247"/>
      <c r="H12" s="252" t="s">
        <v>196</v>
      </c>
      <c r="I12" s="252"/>
      <c r="J12" s="252"/>
      <c r="K12" s="253"/>
      <c r="L12" s="104">
        <f>COUNTIF(Table8[Ever reported having a suicide attempt],"Yes")</f>
        <v>0</v>
      </c>
      <c r="M12" s="96"/>
      <c r="N12" s="96"/>
      <c r="O12" s="96"/>
      <c r="P12" s="96"/>
      <c r="Q12" s="96"/>
      <c r="R12" s="96"/>
      <c r="S12" s="96"/>
    </row>
    <row r="13" spans="1:1127" ht="39" thickTop="1">
      <c r="A13" s="97" t="s">
        <v>197</v>
      </c>
      <c r="B13" s="98">
        <f>COUNTIF(Table8[Ever reported having a suicide attempt],"Yes")</f>
        <v>0</v>
      </c>
      <c r="C13" s="78" t="s">
        <v>198</v>
      </c>
      <c r="D13" s="78" t="s">
        <v>177</v>
      </c>
      <c r="E13" s="82" t="s">
        <v>199</v>
      </c>
      <c r="H13" s="96"/>
      <c r="I13" s="96"/>
      <c r="J13" s="96"/>
      <c r="K13" s="96"/>
      <c r="L13" s="96"/>
      <c r="M13" s="96"/>
      <c r="N13" s="96"/>
      <c r="O13" s="96"/>
      <c r="P13" s="96"/>
      <c r="Q13" s="96"/>
    </row>
    <row r="14" spans="1:1127" ht="24" thickBot="1">
      <c r="A14" s="259" t="s">
        <v>200</v>
      </c>
      <c r="B14" s="259"/>
      <c r="C14" s="259"/>
      <c r="D14" s="259"/>
      <c r="E14" s="259"/>
      <c r="H14" s="96"/>
      <c r="I14" s="96"/>
      <c r="J14" s="96"/>
      <c r="K14" s="96"/>
      <c r="L14" s="96"/>
      <c r="M14" s="96"/>
      <c r="N14" s="96"/>
      <c r="O14" s="96"/>
      <c r="P14" s="96"/>
      <c r="Q14" s="96"/>
    </row>
    <row r="15" spans="1:1127" ht="24" thickBot="1">
      <c r="A15" s="244" t="s">
        <v>201</v>
      </c>
      <c r="B15" s="244"/>
      <c r="C15" s="244"/>
      <c r="D15" s="244"/>
      <c r="E15" s="244"/>
      <c r="H15" s="260" t="s">
        <v>202</v>
      </c>
      <c r="I15" s="261"/>
      <c r="J15" s="261"/>
      <c r="K15" s="261"/>
      <c r="L15" s="261"/>
      <c r="M15" s="261"/>
      <c r="N15" s="261"/>
      <c r="O15" s="261"/>
      <c r="P15" s="261"/>
      <c r="Q15" s="262"/>
    </row>
    <row r="16" spans="1:1127" ht="38.25">
      <c r="A16" s="97" t="s">
        <v>203</v>
      </c>
      <c r="B16" s="110"/>
      <c r="C16" s="78" t="s">
        <v>204</v>
      </c>
      <c r="D16" s="78" t="s">
        <v>205</v>
      </c>
      <c r="E16" s="78" t="s">
        <v>206</v>
      </c>
      <c r="G16" s="263" t="s">
        <v>207</v>
      </c>
      <c r="H16" s="111" t="s">
        <v>208</v>
      </c>
      <c r="I16" s="266" t="s">
        <v>209</v>
      </c>
      <c r="J16" s="267"/>
      <c r="K16" s="268"/>
      <c r="L16" s="266" t="s">
        <v>210</v>
      </c>
      <c r="M16" s="267"/>
      <c r="N16" s="268"/>
      <c r="O16" s="266" t="s">
        <v>211</v>
      </c>
      <c r="P16" s="267"/>
      <c r="Q16" s="268"/>
    </row>
    <row r="17" spans="1:17" ht="39" thickBot="1">
      <c r="A17" s="97" t="s">
        <v>212</v>
      </c>
      <c r="B17" s="110"/>
      <c r="C17" s="79" t="s">
        <v>213</v>
      </c>
      <c r="D17" s="79" t="s">
        <v>205</v>
      </c>
      <c r="E17" s="79" t="s">
        <v>214</v>
      </c>
      <c r="G17" s="264"/>
      <c r="H17" s="112" t="s">
        <v>8</v>
      </c>
      <c r="I17" s="113" t="s">
        <v>17</v>
      </c>
      <c r="J17" s="114" t="s">
        <v>14</v>
      </c>
      <c r="K17" s="115" t="s">
        <v>215</v>
      </c>
      <c r="L17" s="113" t="s">
        <v>17</v>
      </c>
      <c r="M17" s="114" t="s">
        <v>14</v>
      </c>
      <c r="N17" s="116" t="s">
        <v>215</v>
      </c>
      <c r="O17" s="117" t="s">
        <v>17</v>
      </c>
      <c r="P17" s="114" t="s">
        <v>14</v>
      </c>
      <c r="Q17" s="115" t="s">
        <v>215</v>
      </c>
    </row>
    <row r="18" spans="1:17" ht="21">
      <c r="A18" s="259" t="s">
        <v>216</v>
      </c>
      <c r="B18" s="259"/>
      <c r="C18" s="259"/>
      <c r="D18" s="259"/>
      <c r="E18" s="259"/>
      <c r="G18" s="264"/>
      <c r="H18" s="118" t="s">
        <v>15</v>
      </c>
      <c r="I18" s="119">
        <f>COUNTIFS(Table1[Gender], "Male", Table1[Race], "White", Table1[Age], "&lt;=10")</f>
        <v>0</v>
      </c>
      <c r="J18" s="120">
        <f>COUNTIFS(Table1[Gender], "Female", Table1[Race], "White", Table1[Age], "&lt;=10")</f>
        <v>0</v>
      </c>
      <c r="K18" s="121">
        <f>COUNTIFS(Table1[Gender], "Non-Binary/Other", Table1[Race], "White", Table1[Age], "&lt;=10")</f>
        <v>0</v>
      </c>
      <c r="L18" s="119">
        <f>COUNTIFS(Table1[Gender], "Male", Table1[Race], "White", Table1[Age], "&gt;10", Table1[Age], "&lt;14")</f>
        <v>0</v>
      </c>
      <c r="M18" s="120">
        <f>COUNTIFS(Table1[Gender], "Female", Table1[Race], "White", Table1[Age], "&gt;10", Table1[Age], "&lt;14")</f>
        <v>0</v>
      </c>
      <c r="N18" s="121">
        <f>COUNTIFS(Table1[Gender], "Non-Binary/Other", Table1[Race], "White", Table1[Age], "&gt;10", Table1[Age], "&lt;14")</f>
        <v>0</v>
      </c>
      <c r="O18" s="119">
        <f>COUNTIFS(Table1[Gender], "Male", Table1[Race], "White", Table1[Age], "&gt;=14")</f>
        <v>0</v>
      </c>
      <c r="P18" s="120">
        <f>COUNTIFS(Table1[Gender], "Female", Table1[Race], "White", Table1[Age], "&gt;=14")</f>
        <v>0</v>
      </c>
      <c r="Q18" s="122">
        <f>COUNTIFS(Table1[Gender], "Non-Binary/Other", Table1[Race], "White", Table1[Age], "&gt;=14")</f>
        <v>0</v>
      </c>
    </row>
    <row r="19" spans="1:17" ht="18.75">
      <c r="A19" s="244" t="s">
        <v>217</v>
      </c>
      <c r="B19" s="244"/>
      <c r="C19" s="244"/>
      <c r="D19" s="244"/>
      <c r="E19" s="244"/>
      <c r="G19" s="264"/>
      <c r="H19" s="123" t="s">
        <v>218</v>
      </c>
      <c r="I19" s="124">
        <f>COUNTIFS(Table1[Gender], "Male", Table1[Race], "Black or African American", Table1[Age], "&lt;=10")</f>
        <v>0</v>
      </c>
      <c r="J19" s="125">
        <f>COUNTIFS(Table1[Gender], "Female", Table1[Race], "Black or African American", Table1[Age], "&lt;=10")</f>
        <v>0</v>
      </c>
      <c r="K19" s="126">
        <f>COUNTIFS(Table1[Gender], "Non-Binary/Other", Table1[Race], "Black or African American", Table1[Age], "&lt;=10")</f>
        <v>0</v>
      </c>
      <c r="L19" s="124">
        <f>COUNTIFS(Table1[Gender], "Male", Table1[Race], "Black or African American", Table1[Age], "&gt;10", Table1[Age], "&lt;14")</f>
        <v>0</v>
      </c>
      <c r="M19" s="125">
        <f>COUNTIFS(Table1[Gender], "Female", Table1[Race], "Black or African American", Table1[Age], "&gt;10", Table1[Age], "&lt;14")</f>
        <v>0</v>
      </c>
      <c r="N19" s="126">
        <f>COUNTIFS(Table1[Gender], "Non-Binary/Other", Table1[Race], "Black or African American", Table1[Age], "&gt;10", Table1[Age], "&lt;14")</f>
        <v>0</v>
      </c>
      <c r="O19" s="124">
        <f>COUNTIFS(Table1[Gender], "Male", Table1[Race], "Black or African American", Table1[Age], "&gt;=14")</f>
        <v>0</v>
      </c>
      <c r="P19" s="125">
        <f>COUNTIFS(Table1[Gender], "Female", Table1[Race], "Black or African American", Table1[Age], "&gt;=14")</f>
        <v>0</v>
      </c>
      <c r="Q19" s="109">
        <f>COUNTIFS(Table1[Gender], "Non-Binary/Other", Table1[Race], "Black or African American", Table1[Age], "&gt;=14")</f>
        <v>0</v>
      </c>
    </row>
    <row r="20" spans="1:17" ht="18.75">
      <c r="A20" s="269" t="s">
        <v>202</v>
      </c>
      <c r="B20" s="269"/>
      <c r="C20" s="269"/>
      <c r="D20" s="269"/>
      <c r="E20" s="269"/>
      <c r="G20" s="264"/>
      <c r="H20" s="123" t="s">
        <v>219</v>
      </c>
      <c r="I20" s="127">
        <f>COUNTIFS(Table1[Gender], "Male", Table1[Race], "Hispanic", Table1[Age], "&lt;=10")</f>
        <v>0</v>
      </c>
      <c r="J20" s="128">
        <f>COUNTIFS(Table1[Gender], "Female", Table1[Race], "Hispanic", Table1[Age], "&lt;=10")</f>
        <v>0</v>
      </c>
      <c r="K20" s="129">
        <f>COUNTIFS(Table1[Gender], "Non-Binary/Other", Table1[Race], "Hispanic", Table1[Age], "&lt;=10")</f>
        <v>0</v>
      </c>
      <c r="L20" s="127">
        <f>COUNTIFS(Table1[Gender], "Male", Table1[Race], "Hispanic", Table1[Age], "&gt;10", Table1[Age], "&lt;14")</f>
        <v>0</v>
      </c>
      <c r="M20" s="128">
        <f>COUNTIFS(Table1[Gender], "Female", Table1[Race], "Hispanic", Table1[Age], "&gt;10", Table1[Age], "&lt;14")</f>
        <v>0</v>
      </c>
      <c r="N20" s="129">
        <f>COUNTIFS(Table1[Gender], "Non-Binary/Other", Table1[Race], "Hispanic", Table1[Age], "&gt;10", Table1[Age], "&lt;14")</f>
        <v>0</v>
      </c>
      <c r="O20" s="127">
        <f>COUNTIFS(Table1[Gender], "Male", Table1[Race], "Hispanic", Table1[Age], "&gt;=14")</f>
        <v>0</v>
      </c>
      <c r="P20" s="128">
        <f>COUNTIFS(Table1[Gender], "Female", Table1[Race], "Hispanic", Table1[Age], "&gt;=14")</f>
        <v>0</v>
      </c>
      <c r="Q20" s="100">
        <f>COUNTIFS(Table1[Gender], "Non-Binary/Other", Table1[Race], "Hispanic", Table1[Age], "&gt;=14")</f>
        <v>0</v>
      </c>
    </row>
    <row r="21" spans="1:17">
      <c r="A21" s="236" t="s">
        <v>220</v>
      </c>
      <c r="B21" s="130">
        <f>COUNTIFS(Table1[Gender], "Male", Table1[Race], "White", Table1[Age], "&lt;=10")</f>
        <v>0</v>
      </c>
      <c r="C21" s="81" t="s">
        <v>221</v>
      </c>
      <c r="D21" s="81" t="s">
        <v>222</v>
      </c>
      <c r="E21" s="237" t="s">
        <v>223</v>
      </c>
      <c r="G21" s="264"/>
      <c r="H21" s="123" t="s">
        <v>224</v>
      </c>
      <c r="I21" s="124">
        <f>COUNTIFS(Table1[Gender], "Male", Table1[Race], "Asian", Table1[Age], "&lt;=10")</f>
        <v>0</v>
      </c>
      <c r="J21" s="125">
        <f>COUNTIFS(Table1[Gender], "Female", Table1[Race], "Asian", Table1[Age], "&lt;=10")</f>
        <v>0</v>
      </c>
      <c r="K21" s="126">
        <f>COUNTIFS(Table1[Gender], "Non-Binary/Other", Table1[Race], "Asian", Table1[Age], "&lt;=10")</f>
        <v>0</v>
      </c>
      <c r="L21" s="124">
        <f>COUNTIFS(Table1[Gender], "Male", Table1[Race], "Asian", Table1[Age], "&gt;10", Table1[Age], "&lt;14")</f>
        <v>0</v>
      </c>
      <c r="M21" s="125">
        <f>COUNTIFS(Table1[Gender], "Female", Table1[Race], "Asian", Table1[Age], "&gt;10", Table1[Age], "&lt;14")</f>
        <v>0</v>
      </c>
      <c r="N21" s="126">
        <f>COUNTIFS(Table1[Gender], "Non-Binary/Other", Table1[Race], "Asian", Table1[Age], "&gt;10", Table1[Age], "&lt;14")</f>
        <v>0</v>
      </c>
      <c r="O21" s="124">
        <f>COUNTIFS(Table1[Gender], "Male", Table1[Race], "Asian", Table1[Age], "&gt;=14")</f>
        <v>0</v>
      </c>
      <c r="P21" s="125">
        <f>COUNTIFS(Table1[Gender], "Female", Table1[Race], "Asian", Table1[Age], "&gt;=14")</f>
        <v>0</v>
      </c>
      <c r="Q21" s="109">
        <f>COUNTIFS(Table1[Gender], "Non-Binary/Other", Table1[Race], "Asian", Table1[Age], "&gt;=14")</f>
        <v>0</v>
      </c>
    </row>
    <row r="22" spans="1:17">
      <c r="A22" s="231"/>
      <c r="B22" s="130">
        <f>COUNTIFS(Table1[Gender], "Female", Table1[Race], "White", Table1[Age], "&lt;=10")</f>
        <v>0</v>
      </c>
      <c r="C22" s="79" t="s">
        <v>225</v>
      </c>
      <c r="D22" s="79" t="s">
        <v>222</v>
      </c>
      <c r="E22" s="237"/>
      <c r="G22" s="264"/>
      <c r="H22" s="123" t="s">
        <v>226</v>
      </c>
      <c r="I22" s="127">
        <f>COUNTIFS(Table1[Gender], "Male", Table1[Race], "American Indian/Alaskan Native", Table1[Age], "&lt;=10")</f>
        <v>0</v>
      </c>
      <c r="J22" s="128">
        <f>COUNTIFS(Table1[Gender], "Female", Table1[Race], "American Indian/Alaskan Native", Table1[Age], "&lt;=10")</f>
        <v>0</v>
      </c>
      <c r="K22" s="129">
        <f>COUNTIFS(Table1[Gender], "Non-Binary/Other", Table1[Race], "American Indian/Alaskan Native", Table1[Age], "&lt;=10")</f>
        <v>0</v>
      </c>
      <c r="L22" s="127">
        <f>COUNTIFS(Table1[Gender], "Male", Table1[Race], "American Indian/Alaskan Native", Table1[Age], "&gt;10", Table1[Age], "&lt;14")</f>
        <v>0</v>
      </c>
      <c r="M22" s="128">
        <f>COUNTIFS(Table1[Gender], "Female", Table1[Race], "American Indian/Alaskan Native", Table1[Age], "&gt;10", Table1[Age], "&lt;14")</f>
        <v>0</v>
      </c>
      <c r="N22" s="129">
        <f>COUNTIFS(Table1[Gender], "Non-Binary/Other", Table1[Race], "American Indian/Alaskan Native", Table1[Age], "&gt;10", Table1[Age], "&lt;14")</f>
        <v>0</v>
      </c>
      <c r="O22" s="127">
        <f>COUNTIFS(Table1[Gender], "Male", Table1[Race], "American Indian/Alaskan Native", Table1[Age], "&gt;=14")</f>
        <v>0</v>
      </c>
      <c r="P22" s="128">
        <f>COUNTIFS(Table1[Gender], "Female", Table1[Race], "American Indian/Alaskan Native", Table1[Age], "&gt;=14")</f>
        <v>0</v>
      </c>
      <c r="Q22" s="100">
        <f>COUNTIFS(Table1[Gender], "Non-Binary/Other", Table1[Race], "American Indian/Alaskan Native", Table1[Age], "&gt;=14")</f>
        <v>0</v>
      </c>
    </row>
    <row r="23" spans="1:17">
      <c r="A23" s="231"/>
      <c r="B23" s="130">
        <f>COUNTIFS(Table1[Gender], "Non-Binary/Other", Table1[Race], "White", Table1[Age], "&lt;=10")</f>
        <v>0</v>
      </c>
      <c r="C23" s="78" t="s">
        <v>227</v>
      </c>
      <c r="D23" s="78" t="s">
        <v>222</v>
      </c>
      <c r="E23" s="237"/>
      <c r="G23" s="264"/>
      <c r="H23" s="123" t="s">
        <v>18</v>
      </c>
      <c r="I23" s="124">
        <f>COUNTIFS(Table1[Gender], "Male", Table1[Race], "Multi-Racial", Table1[Age], "&lt;=10")</f>
        <v>0</v>
      </c>
      <c r="J23" s="125">
        <f>COUNTIFS(Table1[Gender], "Female", Table1[Race], "Multi-Racial", Table1[Age], "&lt;=10")</f>
        <v>0</v>
      </c>
      <c r="K23" s="126">
        <f>COUNTIFS(Table1[Gender], "Non-Binary/Other", Table1[Race], "Multi-Racial", Table1[Age], "&lt;=10")</f>
        <v>0</v>
      </c>
      <c r="L23" s="124">
        <f>COUNTIFS(Table1[Gender], "Male", Table1[Race], "Multi-Racial", Table1[Age], "&gt;10", Table1[Age], "&lt;14")</f>
        <v>0</v>
      </c>
      <c r="M23" s="125">
        <f>COUNTIFS(Table1[Gender], "Female", Table1[Race], "Multi-Racial", Table1[Age], "&gt;10", Table1[Age], "&lt;14")</f>
        <v>0</v>
      </c>
      <c r="N23" s="126">
        <f>COUNTIFS(Table1[Gender], "Non-Binary/Other", Table1[Race], "Multi-Racial", Table1[Age], "&gt;10", Table1[Age], "&lt;14")</f>
        <v>0</v>
      </c>
      <c r="O23" s="124">
        <f>COUNTIFS(Table1[Gender], "Male", Table1[Race], "Multi-Racial", Table1[Age], "&gt;=14")</f>
        <v>0</v>
      </c>
      <c r="P23" s="125">
        <f>COUNTIFS(Table1[Gender], "Female", Table1[Race], "Multi-Racial", Table1[Age], "&gt;=14")</f>
        <v>0</v>
      </c>
      <c r="Q23" s="109">
        <f>COUNTIFS(Table1[Gender], "Non-Binary/Other", Table1[Race], "Multi-Racial", Table1[Age], "&gt;=14")</f>
        <v>0</v>
      </c>
    </row>
    <row r="24" spans="1:17" ht="38.25" thickBot="1">
      <c r="A24" s="231"/>
      <c r="B24" s="130">
        <f>COUNTIFS(Table1[Gender], "Male", Table1[Race], "White", Table1[Age], "&gt;10", Table1[Age], "&lt;14")</f>
        <v>0</v>
      </c>
      <c r="C24" s="79" t="s">
        <v>228</v>
      </c>
      <c r="D24" s="79" t="s">
        <v>222</v>
      </c>
      <c r="E24" s="237"/>
      <c r="G24" s="265"/>
      <c r="H24" s="131" t="s">
        <v>229</v>
      </c>
      <c r="I24" s="132">
        <f>COUNTIFS(Table1[Gender], "Male", Table1[Race], "Native Hawaiian or Other Pacific Islander", Table1[Age], "&lt;=10")</f>
        <v>0</v>
      </c>
      <c r="J24" s="133">
        <f>COUNTIFS(Table1[Gender], "Female", Table1[Race], "Native Hawaiian or Other Pacific Islander", Table1[Age], "&lt;=10")</f>
        <v>0</v>
      </c>
      <c r="K24" s="134">
        <f>COUNTIFS(Table1[Gender], "Non-Binary/Other", Table1[Race], "Native Hawaiian or Other Pacific Islander", Table1[Age], "&lt;=10")</f>
        <v>0</v>
      </c>
      <c r="L24" s="132">
        <f>COUNTIFS(Table1[Gender], "Male", Table1[Race], "Native Hawaiian or Other Pacific Islander", Table1[Age], "&gt;10", Table1[Age], "&lt;14")</f>
        <v>0</v>
      </c>
      <c r="M24" s="133">
        <f>COUNTIFS(Table1[Gender], "Female", Table1[Race], "Native Hawaiian or Other Pacific Islander", Table1[Age], "&gt;10", Table1[Age], "&lt;14")</f>
        <v>0</v>
      </c>
      <c r="N24" s="134">
        <f>COUNTIFS(Table1[Gender], "Non-Binary/Other", Table1[Race], "Native Hawaiian or Other Pacific Islander", Table1[Age], "&gt;10", Table1[Age], "&lt;14")</f>
        <v>0</v>
      </c>
      <c r="O24" s="132">
        <f>COUNTIFS(Table1[Gender], "Male", Table1[Race], "Native Hawaiian or Other Pacific Islander", Table1[Age], "&gt;=14")</f>
        <v>0</v>
      </c>
      <c r="P24" s="133">
        <f>COUNTIFS(Table1[Gender], "Female", Table1[Race], "Native Hawaiian or Other Pacific Islander", Table1[Age], "&gt;=14")</f>
        <v>0</v>
      </c>
      <c r="Q24" s="104">
        <f>COUNTIFS(Table1[Gender], "Non-Binary/Other", Table1[Race], "Native Hawaiian or Other Pacific Islander", Table1[Age], "&gt;=14")</f>
        <v>0</v>
      </c>
    </row>
    <row r="25" spans="1:17">
      <c r="A25" s="231"/>
      <c r="B25" s="130">
        <f>COUNTIFS(Table1[Gender], "Female", Table1[Race], "White", Table1[Age], "&gt;10", Table1[Age], "&lt;14")</f>
        <v>0</v>
      </c>
      <c r="C25" s="78" t="s">
        <v>230</v>
      </c>
      <c r="D25" s="78" t="s">
        <v>222</v>
      </c>
      <c r="E25" s="237"/>
      <c r="G25" s="94"/>
      <c r="H25" s="135"/>
      <c r="I25" s="135"/>
      <c r="J25" s="135"/>
      <c r="K25" s="135"/>
      <c r="L25" s="135"/>
      <c r="M25" s="135"/>
      <c r="N25" s="135"/>
      <c r="O25" s="135"/>
      <c r="P25" s="135"/>
      <c r="Q25" s="135"/>
    </row>
    <row r="26" spans="1:17" ht="24" thickBot="1">
      <c r="A26" s="231"/>
      <c r="B26" s="130">
        <f>COUNTIFS(Table1[Gender], "Non-Binary/Other", Table1[Race], "White", Table1[Age], "&gt;10", Table1[Age], "&lt;14")</f>
        <v>0</v>
      </c>
      <c r="C26" s="79" t="s">
        <v>231</v>
      </c>
      <c r="D26" s="79" t="s">
        <v>222</v>
      </c>
      <c r="E26" s="237"/>
    </row>
    <row r="27" spans="1:17" ht="24" thickBot="1">
      <c r="A27" s="231"/>
      <c r="B27" s="130">
        <f>COUNTIFS(Table1[Gender], "Male", Table1[Race], "White", Table1[Age], "&gt;=14")</f>
        <v>0</v>
      </c>
      <c r="C27" s="78" t="s">
        <v>232</v>
      </c>
      <c r="D27" s="78" t="s">
        <v>222</v>
      </c>
      <c r="E27" s="237"/>
      <c r="H27" s="282" t="s">
        <v>233</v>
      </c>
      <c r="I27" s="283"/>
      <c r="J27" s="283"/>
      <c r="K27" s="284"/>
    </row>
    <row r="28" spans="1:17" ht="24" thickBot="1">
      <c r="A28" s="231"/>
      <c r="B28" s="130">
        <f>COUNTIFS(Table1[Gender], "Female", Table1[Race], "White", Table1[Age], "&gt;=14")</f>
        <v>0</v>
      </c>
      <c r="C28" s="79" t="s">
        <v>234</v>
      </c>
      <c r="D28" s="79" t="s">
        <v>222</v>
      </c>
      <c r="E28" s="237"/>
      <c r="G28" s="263" t="s">
        <v>207</v>
      </c>
      <c r="H28" s="136" t="s">
        <v>235</v>
      </c>
      <c r="I28" s="137" t="s">
        <v>209</v>
      </c>
      <c r="J28" s="138" t="s">
        <v>210</v>
      </c>
      <c r="K28" s="139" t="s">
        <v>211</v>
      </c>
    </row>
    <row r="29" spans="1:17">
      <c r="A29" s="231"/>
      <c r="B29" s="130">
        <f>COUNTIFS(Table1[Gender], "Non-Binary/Other", Table1[Race], "White", Table1[Age], "&gt;=14")</f>
        <v>0</v>
      </c>
      <c r="C29" s="78" t="s">
        <v>236</v>
      </c>
      <c r="D29" s="78" t="s">
        <v>222</v>
      </c>
      <c r="E29" s="237"/>
      <c r="G29" s="264"/>
      <c r="H29" s="140" t="s">
        <v>237</v>
      </c>
      <c r="I29" s="141">
        <f xml:space="preserve"> IF(SUM(B21:B23,B30:B32,B39:B41,B48:B50,B57:B59,B66:B68,B75:B77) = 0, 0,
 COUNTIFS(Table36103[Age],"&lt;=10",Table36103[Age],"&gt;0",
          Table36103[No Recom], "YES"))</f>
        <v>0</v>
      </c>
      <c r="J29" s="120">
        <f xml:space="preserve"> IF(SUM(B24:B26,B33:B35,B42:B44,B51:B53,B60:B62,B69:B71,B78:B80) = 0, 0,
 COUNTIFS(Table36103[Age],"&gt;10", Table36103[Age],"&lt;14",
          Table36103[No Recom], "YES"))</f>
        <v>0</v>
      </c>
      <c r="K29" s="122">
        <f xml:space="preserve"> IF(SUM(B27:B29,B36:B38,B45:B47,B54:B56,B63:B65,B72:B74,B81:B83) = 0, 0,
 COUNTIFS(Table36103[Age],"&gt;=14",
          Table36103[No Recom], "YES"))</f>
        <v>0</v>
      </c>
    </row>
    <row r="30" spans="1:17">
      <c r="A30" s="231"/>
      <c r="B30" s="130">
        <f>COUNTIFS(Table1[Gender], "Male", Table1[Race], "Black or African American", Table1[Age], "&lt;=10")</f>
        <v>0</v>
      </c>
      <c r="C30" s="79" t="s">
        <v>238</v>
      </c>
      <c r="D30" s="79" t="s">
        <v>222</v>
      </c>
      <c r="E30" s="237"/>
      <c r="G30" s="264"/>
      <c r="H30" s="142" t="s">
        <v>239</v>
      </c>
      <c r="I30" s="125">
        <f xml:space="preserve"> IF(SUM(B21:B23,B30:B32,B39:B41,B48:B50,B57:B59,B66:B68,B75:B77) = 0, 0,
 COUNTIFS(Table36103[Age],"&lt;=10",Table36103[Age],"&gt;0",
          Table36103[Continue Existing], "TRUE"))</f>
        <v>0</v>
      </c>
      <c r="J30" s="143">
        <f xml:space="preserve"> IF(SUM(B24:B26,B33:B35,B42:B44,B51:B53,B60:B62,B69:B71,B78:B80) = 0, 0,
 COUNTIFS(Table36103[Age],"&gt;10", Table36103[Age],"&lt;14",
          Table36103[Continue Existing], "TRUE"))</f>
        <v>0</v>
      </c>
      <c r="K30" s="144">
        <f xml:space="preserve"> IF(SUM(B27:B29,B36:B38,B45:B47,B54:B56,B63:B65,B72:B74,B81:B83) = 0, 0,
 COUNTIFS(Table36103[Age],"&gt;=14",
          Table36103[Continue Existing], "TRUE"))</f>
        <v>0</v>
      </c>
    </row>
    <row r="31" spans="1:17" ht="24" thickBot="1">
      <c r="A31" s="231"/>
      <c r="B31" s="130">
        <f>COUNTIFS(Table1[Gender], "Female", Table1[Race], "Black or African American", Table1[Age], "&lt;=10")</f>
        <v>0</v>
      </c>
      <c r="C31" s="78" t="s">
        <v>240</v>
      </c>
      <c r="D31" s="78" t="s">
        <v>222</v>
      </c>
      <c r="E31" s="237"/>
      <c r="G31" s="265"/>
      <c r="H31" s="112" t="s">
        <v>241</v>
      </c>
      <c r="I31" s="145">
        <f xml:space="preserve"> IF(SUM(B21:B23,B30:B32,B39:B41,B48:B50,B57:B59,B66:B68,B75:B77) = 0, 0,
 COUNTIFS(Table36103[Age],"&lt;=10",Table36103[Age],"&gt;0",
          Table36103[Start New], "TRUE"))</f>
        <v>0</v>
      </c>
      <c r="J31" s="133">
        <f xml:space="preserve"> IF(SUM(B24:B26,B33:B35,B42:B44,B51:B53,B60:B62,B69:B71,B78:B80) = 0, 0,
 COUNTIFS(Table36103[Age],"&gt;10", Table36103[Age],"&lt;14",
          Table36103[Start New], "TRUE"))</f>
        <v>0</v>
      </c>
      <c r="K31" s="104">
        <f xml:space="preserve"> IF(SUM(B27:B29,B36:B38,B45:B47,B54:B56,B63:B65,B72:B74,B81:B83) = 0, 0,
 COUNTIFS(Table36103[Age],"&gt;=14",
          Table36103[Start New], "TRUE"))</f>
        <v>0</v>
      </c>
    </row>
    <row r="32" spans="1:17">
      <c r="A32" s="231"/>
      <c r="B32" s="130">
        <f>COUNTIFS(Table1[Gender], "Non-Binary/Other", Table1[Race], "Black or African American", Table1[Age], "&lt;=10")</f>
        <v>0</v>
      </c>
      <c r="C32" s="79" t="s">
        <v>242</v>
      </c>
      <c r="D32" s="79" t="s">
        <v>222</v>
      </c>
      <c r="E32" s="237"/>
    </row>
    <row r="33" spans="1:17" ht="24" thickBot="1">
      <c r="A33" s="231"/>
      <c r="B33" s="130">
        <f>COUNTIFS(Table1[Gender], "Male", Table1[Race], "Black or African American", Table1[Age], "&gt;10", Table1[Age], "&lt;14")</f>
        <v>0</v>
      </c>
      <c r="C33" s="78" t="s">
        <v>243</v>
      </c>
      <c r="D33" s="78" t="s">
        <v>222</v>
      </c>
      <c r="E33" s="237"/>
    </row>
    <row r="34" spans="1:17" ht="24" thickBot="1">
      <c r="A34" s="231"/>
      <c r="B34" s="130">
        <f>COUNTIFS(Table1[Gender], "Female", Table1[Race], "Black or African American", Table1[Age], "&gt;10", Table1[Age], "&lt;14")</f>
        <v>0</v>
      </c>
      <c r="C34" s="79" t="s">
        <v>244</v>
      </c>
      <c r="D34" s="79" t="s">
        <v>222</v>
      </c>
      <c r="E34" s="237"/>
      <c r="H34" s="285" t="s">
        <v>245</v>
      </c>
      <c r="I34" s="286"/>
      <c r="J34" s="286"/>
      <c r="K34" s="286"/>
      <c r="L34" s="286"/>
      <c r="M34" s="286"/>
      <c r="N34" s="286"/>
      <c r="O34" s="286"/>
      <c r="P34" s="286"/>
      <c r="Q34" s="287"/>
    </row>
    <row r="35" spans="1:17">
      <c r="A35" s="231"/>
      <c r="B35" s="130">
        <f>COUNTIFS(Table1[Gender], "Non-Binary/Other", Table1[Race], "Black or African American", Table1[Age], "&gt;10", Table1[Age], "&lt;14")</f>
        <v>0</v>
      </c>
      <c r="C35" s="78" t="s">
        <v>246</v>
      </c>
      <c r="D35" s="78" t="s">
        <v>222</v>
      </c>
      <c r="E35" s="237"/>
      <c r="G35" s="288" t="s">
        <v>247</v>
      </c>
      <c r="H35" s="291" t="s">
        <v>235</v>
      </c>
      <c r="I35" s="293" t="s">
        <v>209</v>
      </c>
      <c r="J35" s="294"/>
      <c r="K35" s="295"/>
      <c r="L35" s="293" t="s">
        <v>210</v>
      </c>
      <c r="M35" s="294"/>
      <c r="N35" s="295"/>
      <c r="O35" s="293" t="s">
        <v>211</v>
      </c>
      <c r="P35" s="294"/>
      <c r="Q35" s="295"/>
    </row>
    <row r="36" spans="1:17">
      <c r="A36" s="231"/>
      <c r="B36" s="130">
        <f>COUNTIFS(Table1[Gender], "Male", Table1[Race], "Black or African American", Table1[Age], "&gt;=14")</f>
        <v>0</v>
      </c>
      <c r="C36" s="79" t="s">
        <v>248</v>
      </c>
      <c r="D36" s="79" t="s">
        <v>222</v>
      </c>
      <c r="E36" s="237"/>
      <c r="G36" s="289"/>
      <c r="H36" s="291"/>
      <c r="I36" s="296" t="s">
        <v>249</v>
      </c>
      <c r="J36" s="297"/>
      <c r="K36" s="298"/>
      <c r="L36" s="296" t="s">
        <v>249</v>
      </c>
      <c r="M36" s="297"/>
      <c r="N36" s="298"/>
      <c r="O36" s="296" t="s">
        <v>249</v>
      </c>
      <c r="P36" s="297"/>
      <c r="Q36" s="298"/>
    </row>
    <row r="37" spans="1:17" ht="24" thickBot="1">
      <c r="A37" s="231"/>
      <c r="B37" s="130">
        <f>COUNTIFS(Table1[Gender], "Female", Table1[Race], "Black or African American", Table1[Age], "&gt;=14")</f>
        <v>0</v>
      </c>
      <c r="C37" s="78" t="s">
        <v>250</v>
      </c>
      <c r="D37" s="78" t="s">
        <v>222</v>
      </c>
      <c r="E37" s="237"/>
      <c r="G37" s="289"/>
      <c r="H37" s="292"/>
      <c r="I37" s="113" t="s">
        <v>3</v>
      </c>
      <c r="J37" s="114" t="s">
        <v>38</v>
      </c>
      <c r="K37" s="115" t="s">
        <v>251</v>
      </c>
      <c r="L37" s="113" t="s">
        <v>3</v>
      </c>
      <c r="M37" s="114" t="s">
        <v>38</v>
      </c>
      <c r="N37" s="115" t="s">
        <v>251</v>
      </c>
      <c r="O37" s="113" t="s">
        <v>3</v>
      </c>
      <c r="P37" s="114" t="s">
        <v>38</v>
      </c>
      <c r="Q37" s="115" t="s">
        <v>251</v>
      </c>
    </row>
    <row r="38" spans="1:17">
      <c r="A38" s="231"/>
      <c r="B38" s="130">
        <f>COUNTIFS(Table1[Gender], "Non-Binary/Other", Table1[Race], "Black or African American", Table1[Age], "&gt;=14")</f>
        <v>0</v>
      </c>
      <c r="C38" s="79" t="s">
        <v>252</v>
      </c>
      <c r="D38" s="79" t="s">
        <v>222</v>
      </c>
      <c r="E38" s="237"/>
      <c r="G38" s="289"/>
      <c r="H38" s="118" t="s">
        <v>253</v>
      </c>
      <c r="I38" s="119">
        <f>COUNTIFS(Table36103[Age], "&lt;=10", Table36103[Service Accessed 1], "Yes")</f>
        <v>0</v>
      </c>
      <c r="J38" s="120">
        <f>COUNTIFS(Table36103[Age], "&lt;=10", Table36103[Service Accessed 1], "No")</f>
        <v>0</v>
      </c>
      <c r="K38" s="121">
        <f>COUNTIFS(Table36103[Age], "&lt;=10", Table36103[Service Accessed 1], "Don't Know")</f>
        <v>0</v>
      </c>
      <c r="L38" s="119">
        <f>COUNTIFS(Table36103[Age], "&gt;10", Table36103[Age], "&lt;14", Table36103[Service Accessed 1], "Yes")</f>
        <v>0</v>
      </c>
      <c r="M38" s="120">
        <f>COUNTIFS(Table36103[Age], "&gt;10", Table36103[Age], "&lt;14", Table36103[Service Accessed 1], "No")</f>
        <v>0</v>
      </c>
      <c r="N38" s="121">
        <f>COUNTIFS(Table36103[Age], "&gt;10", Table36103[Age], "&lt;14", Table36103[Service Accessed 1], "Don't Know")</f>
        <v>0</v>
      </c>
      <c r="O38" s="119">
        <f>COUNTIFS(Table36103[Age], "&gt;=14", Table36103[Service Accessed 1], "Yes")</f>
        <v>0</v>
      </c>
      <c r="P38" s="120">
        <f>COUNTIFS(Table36103[Age], "&gt;=14", Table36103[Service Accessed 1], "No")</f>
        <v>0</v>
      </c>
      <c r="Q38" s="122">
        <f>COUNTIFS(Table36103[Age], "&gt;=14", Table36103[Service Accessed 1], "Don't Know")</f>
        <v>0</v>
      </c>
    </row>
    <row r="39" spans="1:17">
      <c r="A39" s="231"/>
      <c r="B39" s="130">
        <f>COUNTIFS(Table1[Gender], "Male", Table1[Race], "Hispanic", Table1[Age], "&lt;=10")</f>
        <v>0</v>
      </c>
      <c r="C39" s="78" t="s">
        <v>254</v>
      </c>
      <c r="D39" s="78" t="s">
        <v>222</v>
      </c>
      <c r="E39" s="237"/>
      <c r="G39" s="289"/>
      <c r="H39" s="123" t="s">
        <v>255</v>
      </c>
      <c r="I39" s="124">
        <f>COUNTIFS(Table36103[Age], "&lt;=10", Table36103[Service Accessed 2], "Yes")</f>
        <v>0</v>
      </c>
      <c r="J39" s="125">
        <f>COUNTIFS(Table36103[Age], "&lt;=10", Table36103[Service Accessed 2], "No")</f>
        <v>0</v>
      </c>
      <c r="K39" s="126">
        <f>COUNTIFS(Table36103[Age], "&lt;=10", Table36103[Service Accessed 2], "Don't Know")</f>
        <v>0</v>
      </c>
      <c r="L39" s="124">
        <f>COUNTIFS(Table36103[Age], "&gt;10", Table36103[Age], "&lt;14", Table36103[Service Accessed 2], "Yes")</f>
        <v>0</v>
      </c>
      <c r="M39" s="125">
        <f>COUNTIFS(Table36103[Age], "&gt;10", Table36103[Age], "&lt;14", Table36103[Service Accessed 2], "No")</f>
        <v>0</v>
      </c>
      <c r="N39" s="126">
        <f>COUNTIFS(Table36103[Age], "&gt;10", Table36103[Age], "&lt;14", Table36103[Service Accessed 2], "Don't Know")</f>
        <v>0</v>
      </c>
      <c r="O39" s="124">
        <f>COUNTIFS(Table36103[Age], "&gt;=14", Table36103[Service Accessed 2], "Yes")</f>
        <v>0</v>
      </c>
      <c r="P39" s="125">
        <f>COUNTIFS(Table36103[Age], "&gt;=14", Table36103[Service Accessed 2], "No")</f>
        <v>0</v>
      </c>
      <c r="Q39" s="109">
        <f>COUNTIFS(Table36103[Age], "&gt;=14", Table36103[Service Accessed 2], "Don't Know")</f>
        <v>0</v>
      </c>
    </row>
    <row r="40" spans="1:17">
      <c r="A40" s="231"/>
      <c r="B40" s="130">
        <f>COUNTIFS(Table1[Gender], "Female", Table1[Race], "Hispanic", Table1[Age], "&lt;=10")</f>
        <v>0</v>
      </c>
      <c r="C40" s="79" t="s">
        <v>256</v>
      </c>
      <c r="D40" s="79" t="s">
        <v>222</v>
      </c>
      <c r="E40" s="237"/>
      <c r="G40" s="289"/>
      <c r="H40" s="123" t="s">
        <v>257</v>
      </c>
      <c r="I40" s="127">
        <f>COUNTIFS(Table36103[Age], "&lt;=10", Table36103[Service Accessed 3], "Yes")</f>
        <v>0</v>
      </c>
      <c r="J40" s="128">
        <f>COUNTIFS(Table36103[Age], "&lt;=10", Table36103[Service Accessed 3], "No")</f>
        <v>0</v>
      </c>
      <c r="K40" s="129">
        <f>COUNTIFS(Table36103[Age], "&lt;=10", Table36103[Service Accessed 3], "Don't Know")</f>
        <v>0</v>
      </c>
      <c r="L40" s="127">
        <f>COUNTIFS(Table36103[Age], "&gt;10", Table36103[Age], "&lt;14", Table36103[Service Accessed 3], "Yes")</f>
        <v>0</v>
      </c>
      <c r="M40" s="128">
        <f>COUNTIFS(Table36103[Age], "&gt;10", Table36103[Age], "&lt;14", Table36103[Service Accessed 3], "No")</f>
        <v>0</v>
      </c>
      <c r="N40" s="129">
        <f>COUNTIFS(Table36103[Age], "&gt;10", Table36103[Age], "&lt;14", Table36103[Service Accessed 3], "Don't Know")</f>
        <v>0</v>
      </c>
      <c r="O40" s="127">
        <f>COUNTIFS(Table36103[Age], "&gt;=14", Table36103[Service Accessed 3], "Yes")</f>
        <v>0</v>
      </c>
      <c r="P40" s="128">
        <f>COUNTIFS(Table36103[Age], "&gt;=14", Table36103[Service Accessed 3], "No")</f>
        <v>0</v>
      </c>
      <c r="Q40" s="100">
        <f>COUNTIFS(Table36103[Age], "&gt;=14", Table36103[Service Accessed 3], "Don't Know")</f>
        <v>0</v>
      </c>
    </row>
    <row r="41" spans="1:17">
      <c r="A41" s="231"/>
      <c r="B41" s="130">
        <f>COUNTIFS(Table1[Gender], "Non-Binary/Other", Table1[Race], "Hispanic", Table1[Age], "&lt;=10")</f>
        <v>0</v>
      </c>
      <c r="C41" s="78" t="s">
        <v>258</v>
      </c>
      <c r="D41" s="78" t="s">
        <v>222</v>
      </c>
      <c r="E41" s="237"/>
      <c r="G41" s="289"/>
      <c r="H41" s="123" t="s">
        <v>259</v>
      </c>
      <c r="I41" s="124">
        <f>COUNTIFS(Table36103[Age], "&lt;=10", Table36103[Service Accessed 4], "Yes")</f>
        <v>0</v>
      </c>
      <c r="J41" s="125">
        <f>COUNTIFS(Table36103[Age], "&lt;=10", Table36103[Service Accessed 4], "No")</f>
        <v>0</v>
      </c>
      <c r="K41" s="126">
        <f>COUNTIFS(Table36103[Age], "&lt;=10", Table36103[Service Accessed 4], "Don't Know")</f>
        <v>0</v>
      </c>
      <c r="L41" s="124">
        <f>COUNTIFS(Table36103[Age], "&gt;10", Table36103[Age], "&lt;14", Table36103[Service Accessed 4], "Yes")</f>
        <v>0</v>
      </c>
      <c r="M41" s="125">
        <f>COUNTIFS(Table36103[Age], "&gt;10", Table36103[Age], "&lt;14", Table36103[Service Accessed 4], "No")</f>
        <v>0</v>
      </c>
      <c r="N41" s="126">
        <f>COUNTIFS(Table36103[Age], "&gt;10", Table36103[Age], "&lt;14", Table36103[Service Accessed 4], "Don't Know")</f>
        <v>0</v>
      </c>
      <c r="O41" s="124">
        <f>COUNTIFS(Table36103[Age], "&gt;=14", Table36103[Service Accessed 4], "Yes")</f>
        <v>0</v>
      </c>
      <c r="P41" s="125">
        <f>COUNTIFS(Table36103[Age], "&gt;=14", Table36103[Service Accessed 4], "No")</f>
        <v>0</v>
      </c>
      <c r="Q41" s="109">
        <f>COUNTIFS(Table36103[Age], "&gt;=14", Table36103[Service Accessed 4], "Don't Know")</f>
        <v>0</v>
      </c>
    </row>
    <row r="42" spans="1:17">
      <c r="A42" s="231"/>
      <c r="B42" s="130">
        <f>COUNTIFS(Table1[Gender], "Male", Table1[Race], "Hispanic", Table1[Age], "&gt;10", Table1[Age], "&lt;14")</f>
        <v>0</v>
      </c>
      <c r="C42" s="79" t="s">
        <v>260</v>
      </c>
      <c r="D42" s="79" t="s">
        <v>222</v>
      </c>
      <c r="E42" s="237"/>
      <c r="G42" s="289"/>
      <c r="H42" s="123" t="s">
        <v>261</v>
      </c>
      <c r="I42" s="127">
        <f>COUNTIFS(Table36103[Age], "&lt;=10", Table36103[Service Accessed 5], "Yes")</f>
        <v>0</v>
      </c>
      <c r="J42" s="128">
        <f>COUNTIFS(Table36103[Age], "&lt;=10", Table36103[Service Accessed 5], "No")</f>
        <v>0</v>
      </c>
      <c r="K42" s="129">
        <f>COUNTIFS(Table36103[Age], "&lt;=10", Table36103[Service Accessed 5], "Don't Know")</f>
        <v>0</v>
      </c>
      <c r="L42" s="127">
        <f>COUNTIFS(Table36103[Age], "&gt;10", Table36103[Age], "&lt;14", Table36103[Service Accessed 5], "Yes")</f>
        <v>0</v>
      </c>
      <c r="M42" s="128">
        <f>COUNTIFS(Table36103[Age], "&gt;10", Table36103[Age], "&lt;14", Table36103[Service Accessed 5], "No")</f>
        <v>0</v>
      </c>
      <c r="N42" s="129">
        <f>COUNTIFS(Table36103[Age], "&gt;10", Table36103[Age], "&lt;14", Table36103[Service Accessed 5], "Don't Know")</f>
        <v>0</v>
      </c>
      <c r="O42" s="127">
        <f>COUNTIFS(Table36103[Age], "&gt;=14", Table36103[Service Accessed 5], "Yes")</f>
        <v>0</v>
      </c>
      <c r="P42" s="128">
        <f>COUNTIFS(Table36103[Age], "&gt;=14", Table36103[Service Accessed 5], "No")</f>
        <v>0</v>
      </c>
      <c r="Q42" s="100">
        <f>COUNTIFS(Table36103[Age], "&gt;=14", Table36103[Service Accessed 5], "Don't Know")</f>
        <v>0</v>
      </c>
    </row>
    <row r="43" spans="1:17">
      <c r="A43" s="231"/>
      <c r="B43" s="130">
        <f>COUNTIFS(Table1[Gender], "Female", Table1[Race], "Hispanic", Table1[Age], "&gt;10", Table1[Age], "&lt;14")</f>
        <v>0</v>
      </c>
      <c r="C43" s="78" t="s">
        <v>262</v>
      </c>
      <c r="D43" s="78" t="s">
        <v>222</v>
      </c>
      <c r="E43" s="237"/>
      <c r="G43" s="289"/>
      <c r="H43" s="123" t="s">
        <v>263</v>
      </c>
      <c r="I43" s="124">
        <f>COUNTIFS(Table36103[Age], "&lt;=10", Table36103[Service Accessed 6], "Yes")</f>
        <v>0</v>
      </c>
      <c r="J43" s="125">
        <f>COUNTIFS(Table36103[Age], "&lt;=10", Table36103[Service Accessed 6], "No")</f>
        <v>0</v>
      </c>
      <c r="K43" s="126">
        <f>COUNTIFS(Table36103[Age], "&lt;=10", Table36103[Service Accessed 6], "Don't Know")</f>
        <v>0</v>
      </c>
      <c r="L43" s="124">
        <f>COUNTIFS(Table36103[Age], "&gt;10", Table36103[Age], "&lt;14", Table36103[Service Accessed 6], "Yes")</f>
        <v>0</v>
      </c>
      <c r="M43" s="125">
        <f>COUNTIFS(Table36103[Age], "&gt;10", Table36103[Age], "&lt;14", Table36103[Service Accessed 6], "No")</f>
        <v>0</v>
      </c>
      <c r="N43" s="126">
        <f>COUNTIFS(Table36103[Age], "&gt;10", Table36103[Age], "&lt;14", Table36103[Service Accessed 6], "Don't Know")</f>
        <v>0</v>
      </c>
      <c r="O43" s="124">
        <f>COUNTIFS(Table36103[Age], "&gt;=14", Table36103[Service Accessed 6], "Yes")</f>
        <v>0</v>
      </c>
      <c r="P43" s="125">
        <f>COUNTIFS(Table36103[Age], "&gt;=14", Table36103[Service Accessed 6], "No")</f>
        <v>0</v>
      </c>
      <c r="Q43" s="109">
        <f>COUNTIFS(Table36103[Age], "&gt;=14", Table36103[Service Accessed 6], "Don't Know")</f>
        <v>0</v>
      </c>
    </row>
    <row r="44" spans="1:17">
      <c r="A44" s="231"/>
      <c r="B44" s="130">
        <f>COUNTIFS(Table1[Gender], "Non-Binary/Other", Table1[Race], "Hispanic", Table1[Age], "&gt;10", Table1[Age], "&lt;14")</f>
        <v>0</v>
      </c>
      <c r="C44" s="79" t="s">
        <v>264</v>
      </c>
      <c r="D44" s="79" t="s">
        <v>222</v>
      </c>
      <c r="E44" s="237"/>
      <c r="G44" s="289"/>
      <c r="H44" s="123" t="s">
        <v>265</v>
      </c>
      <c r="I44" s="127">
        <f>COUNTIFS(Table36103[Age], "&lt;=10", Table36103[Service Accessed 7], "Yes")</f>
        <v>0</v>
      </c>
      <c r="J44" s="128">
        <f>COUNTIFS(Table36103[Age], "&lt;=10", Table36103[Service Accessed 7], "No")</f>
        <v>0</v>
      </c>
      <c r="K44" s="129">
        <f>COUNTIFS(Table36103[Age], "&lt;=10", Table36103[Service Accessed 7], "Don't Know")</f>
        <v>0</v>
      </c>
      <c r="L44" s="127">
        <f>COUNTIFS(Table36103[Age], "&gt;10", Table36103[Age], "&lt;14", Table36103[Service Accessed 7], "Yes")</f>
        <v>0</v>
      </c>
      <c r="M44" s="128">
        <f>COUNTIFS(Table36103[Age], "&gt;10", Table36103[Age], "&lt;14", Table36103[Service Accessed 7], "No")</f>
        <v>0</v>
      </c>
      <c r="N44" s="129">
        <f>COUNTIFS(Table36103[Age], "&gt;10", Table36103[Age], "&lt;14", Table36103[Service Accessed 7], "Don't Know")</f>
        <v>0</v>
      </c>
      <c r="O44" s="127">
        <f>COUNTIFS(Table36103[Age], "&gt;=14", Table36103[Service Accessed 7], "Yes")</f>
        <v>0</v>
      </c>
      <c r="P44" s="128">
        <f>COUNTIFS(Table36103[Age], "&gt;=14", Table36103[Service Accessed 7], "No")</f>
        <v>0</v>
      </c>
      <c r="Q44" s="100">
        <f>COUNTIFS(Table36103[Age], "&gt;=14", Table36103[Service Accessed 7], "Don't Know")</f>
        <v>0</v>
      </c>
    </row>
    <row r="45" spans="1:17">
      <c r="A45" s="231"/>
      <c r="B45" s="130">
        <f>COUNTIFS(Table1[Gender], "Male", Table1[Race], "Hispanic", Table1[Age], "&gt;=14")</f>
        <v>0</v>
      </c>
      <c r="C45" s="78" t="s">
        <v>266</v>
      </c>
      <c r="D45" s="78" t="s">
        <v>222</v>
      </c>
      <c r="E45" s="237"/>
      <c r="G45" s="289"/>
      <c r="H45" s="123" t="s">
        <v>267</v>
      </c>
      <c r="I45" s="124">
        <f>COUNTIFS(Table36103[Age], "&lt;=10", Table36103[Service Accessed 8], "Yes")</f>
        <v>0</v>
      </c>
      <c r="J45" s="125">
        <f>COUNTIFS(Table36103[Age], "&lt;=10", Table36103[Service Accessed 8], "No")</f>
        <v>0</v>
      </c>
      <c r="K45" s="126">
        <f>COUNTIFS(Table36103[Age], "&lt;=10", Table36103[Service Accessed 8], "Don't Know")</f>
        <v>0</v>
      </c>
      <c r="L45" s="124">
        <f>COUNTIFS(Table36103[Age], "&gt;10", Table36103[Age], "&lt;14", Table36103[Service Accessed 8], "Yes")</f>
        <v>0</v>
      </c>
      <c r="M45" s="125">
        <f>COUNTIFS(Table36103[Age], "&gt;10", Table36103[Age], "&lt;14", Table36103[Service Accessed 8], "No")</f>
        <v>0</v>
      </c>
      <c r="N45" s="126">
        <f>COUNTIFS(Table36103[Age], "&gt;10", Table36103[Age], "&lt;14", Table36103[Service Accessed 8], "Don't Know")</f>
        <v>0</v>
      </c>
      <c r="O45" s="124">
        <f>COUNTIFS(Table36103[Age], "&gt;=14", Table36103[Service Accessed 8], "Yes")</f>
        <v>0</v>
      </c>
      <c r="P45" s="125">
        <f>COUNTIFS(Table36103[Age], "&gt;=14", Table36103[Service Accessed 8], "No")</f>
        <v>0</v>
      </c>
      <c r="Q45" s="109">
        <f>COUNTIFS(Table36103[Age], "&gt;=14", Table36103[Service Accessed 8], "Don't Know")</f>
        <v>0</v>
      </c>
    </row>
    <row r="46" spans="1:17" ht="24" thickBot="1">
      <c r="A46" s="231"/>
      <c r="B46" s="130">
        <f>COUNTIFS(Table1[Gender], "Female", Table1[Race], "Hispanic", Table1[Age], "&gt;=14")</f>
        <v>0</v>
      </c>
      <c r="C46" s="79" t="s">
        <v>268</v>
      </c>
      <c r="D46" s="79" t="s">
        <v>222</v>
      </c>
      <c r="E46" s="237"/>
      <c r="G46" s="290"/>
      <c r="H46" s="131" t="s">
        <v>269</v>
      </c>
      <c r="I46" s="132">
        <f>COUNTIFS(Table36103[Age], "&lt;=10", Table36103[Service Accessed 9], "Yes")</f>
        <v>0</v>
      </c>
      <c r="J46" s="133">
        <f>COUNTIFS(Table36103[Age], "&lt;=10", Table36103[Service Accessed 9], "No")</f>
        <v>0</v>
      </c>
      <c r="K46" s="134">
        <f>COUNTIFS(Table36103[Age], "&lt;=10", Table36103[Service Accessed 9], "Don't Know")</f>
        <v>0</v>
      </c>
      <c r="L46" s="132">
        <f>COUNTIFS(Table36103[Age], "&gt;10", Table36103[Age], "&lt;14", Table36103[Service Accessed 9], "Yes")</f>
        <v>0</v>
      </c>
      <c r="M46" s="133">
        <f>COUNTIFS(Table36103[Age], "&gt;10", Table36103[Age], "&lt;14", Table36103[Service Accessed 9], "No")</f>
        <v>0</v>
      </c>
      <c r="N46" s="134">
        <f>COUNTIFS(Table36103[Age], "&gt;10", Table36103[Age], "&lt;14", Table36103[Service Accessed 9], "Don't Know")</f>
        <v>0</v>
      </c>
      <c r="O46" s="132">
        <f>COUNTIFS(Table36103[Age], "&gt;=14", Table36103[Service Accessed 9], "Yes")</f>
        <v>0</v>
      </c>
      <c r="P46" s="133">
        <f>COUNTIFS(Table36103[Age], "&gt;=14", Table36103[Service Accessed 9], "No")</f>
        <v>0</v>
      </c>
      <c r="Q46" s="104">
        <f>COUNTIFS(Table36103[Age], "&gt;=14", Table36103[Service Accessed 9], "Don't Know")</f>
        <v>0</v>
      </c>
    </row>
    <row r="47" spans="1:17">
      <c r="A47" s="231"/>
      <c r="B47" s="130">
        <f>COUNTIFS(Table1[Gender], "Non-Binary/Other", Table1[Race], "Hispanic", Table1[Age], "&gt;=14")</f>
        <v>0</v>
      </c>
      <c r="C47" s="78" t="s">
        <v>270</v>
      </c>
      <c r="D47" s="78" t="s">
        <v>222</v>
      </c>
      <c r="E47" s="237"/>
    </row>
    <row r="48" spans="1:17" ht="24" thickBot="1">
      <c r="A48" s="231"/>
      <c r="B48" s="130">
        <f>COUNTIFS(Table1[Gender], "Male", Table1[Race], "Asian", Table1[Age], "&lt;=10")</f>
        <v>0</v>
      </c>
      <c r="C48" s="79" t="s">
        <v>271</v>
      </c>
      <c r="D48" s="79" t="s">
        <v>222</v>
      </c>
      <c r="E48" s="237"/>
    </row>
    <row r="49" spans="1:17" ht="24" thickBot="1">
      <c r="A49" s="231"/>
      <c r="B49" s="130">
        <f>COUNTIFS(Table1[Gender], "Female", Table1[Race], "Asian", Table1[Age], "&lt;=10")</f>
        <v>0</v>
      </c>
      <c r="C49" s="78" t="s">
        <v>272</v>
      </c>
      <c r="D49" s="78" t="s">
        <v>222</v>
      </c>
      <c r="E49" s="237"/>
      <c r="G49" s="271" t="s">
        <v>273</v>
      </c>
      <c r="H49" s="274" t="s">
        <v>274</v>
      </c>
      <c r="I49" s="275"/>
    </row>
    <row r="50" spans="1:17" ht="24" thickBot="1">
      <c r="A50" s="231"/>
      <c r="B50" s="130">
        <f>COUNTIFS(Table1[Gender], "Non-Binary/Other", Table1[Race], "Asian", Table1[Age], "&lt;=10")</f>
        <v>0</v>
      </c>
      <c r="C50" s="79" t="s">
        <v>275</v>
      </c>
      <c r="D50" s="79" t="s">
        <v>222</v>
      </c>
      <c r="E50" s="237"/>
      <c r="G50" s="272"/>
      <c r="H50" s="147" t="s">
        <v>276</v>
      </c>
      <c r="I50" s="137" t="s">
        <v>277</v>
      </c>
    </row>
    <row r="51" spans="1:17" ht="37.5">
      <c r="A51" s="231"/>
      <c r="B51" s="130">
        <f>COUNTIFS(Table1[Gender], "Male", Table1[Race], "Asian", Table1[Age], "&gt;10", Table1[Age], "&lt;14")</f>
        <v>0</v>
      </c>
      <c r="C51" s="78" t="s">
        <v>278</v>
      </c>
      <c r="D51" s="78" t="s">
        <v>222</v>
      </c>
      <c r="E51" s="237"/>
      <c r="G51" s="272"/>
      <c r="H51" s="118" t="s">
        <v>279</v>
      </c>
      <c r="I51" s="119">
        <f>SUM(Table36103[[#All],[Insurance Issues/Inability to pay for service 1]], Table36103[Insurance Issues/Inability to pay for service 2], Table36103[Insurance Issues/Inability to pay for service 3],Table36103[Insurance Issues/Inability to pay for service 4],Table36103[Insurance Issues/Inability to pay for service 5],Table36103[Insurance Issues/Inability to pay for service 6],Table36103[Insurance Issues/Inability to pay for service 7],Table36103[Insurance Issues/Inability to pay for service 8],Table36103[Insurance Issues/Inability to pay for service 9])</f>
        <v>0</v>
      </c>
    </row>
    <row r="52" spans="1:17">
      <c r="A52" s="231"/>
      <c r="B52" s="130">
        <f>COUNTIFS(Table1[Gender], "Female", Table1[Race], "Asian", Table1[Age], "&gt;10", Table1[Age], "&lt;14")</f>
        <v>0</v>
      </c>
      <c r="C52" s="79" t="s">
        <v>280</v>
      </c>
      <c r="D52" s="79" t="s">
        <v>222</v>
      </c>
      <c r="E52" s="237"/>
      <c r="G52" s="272"/>
      <c r="H52" s="123" t="s">
        <v>281</v>
      </c>
      <c r="I52" s="124">
        <f>SUM(Table36103[[#All],[Lack of Transportation 1]], Table36103[Lack of Transportation 2], Table36103[Lack of Transportation 3],Table36103[Lack of Transportation 4],Table36103[Lack of Transportation 5],Table36103[Lack of Transportation 6],Table36103[Lack of Transportation 7],Table36103[Lack of Transportation 8],Table36103[Lack of Transportation 9])</f>
        <v>0</v>
      </c>
    </row>
    <row r="53" spans="1:17">
      <c r="A53" s="231"/>
      <c r="B53" s="130">
        <f>COUNTIFS(Table1[Gender], "Non-Binary/Other", Table1[Race], "Asian", Table1[Age], "&gt;10", Table1[Age], "&lt;14")</f>
        <v>0</v>
      </c>
      <c r="C53" s="78" t="s">
        <v>282</v>
      </c>
      <c r="D53" s="78" t="s">
        <v>222</v>
      </c>
      <c r="E53" s="237"/>
      <c r="G53" s="272"/>
      <c r="H53" s="123" t="s">
        <v>283</v>
      </c>
      <c r="I53" s="127">
        <f>SUM(Table36103[[#All],[Student Refusal 1]], Table36103[Student Refusal 2], Table36103[Student Refusal 3],Table36103[Student Refusal 4],Table36103[Student Refusal 5],Table36103[Student Refusal 6],Table36103[Student Refusal 7],Table36103[Student Refusal 8],Table36103[Student Refusal 9])</f>
        <v>0</v>
      </c>
    </row>
    <row r="54" spans="1:17">
      <c r="A54" s="231"/>
      <c r="B54" s="130">
        <f>COUNTIFS(Table1[Gender], "Male", Table1[Race], "Asian", Table1[Age], "&gt;=14")</f>
        <v>0</v>
      </c>
      <c r="C54" s="79" t="s">
        <v>284</v>
      </c>
      <c r="D54" s="79" t="s">
        <v>222</v>
      </c>
      <c r="E54" s="237"/>
      <c r="G54" s="272"/>
      <c r="H54" s="123" t="s">
        <v>285</v>
      </c>
      <c r="I54" s="124">
        <f>SUM(Table36103[[#All],[Parent/Guardian Inaction or Refusal 1]], Table36103[Parent/Guardian Inaction or Refusal 2], Table36103[Parent/Guardian Inaction or Refusal 3],Table36103[Parent/Guardian Inaction or Refusal 4],Table36103[Parent/Guardian Inaction or Refusal 5],Table36103[Parent/Guardian Inaction or Refusal 6],Table36103[Parent/Guardian Inaction or Refusal 7],Table36103[Parent/Guardian Inaction or Refusal 8],Table36103[Parent/Guardian Inaction or Refusal 9])</f>
        <v>0</v>
      </c>
    </row>
    <row r="55" spans="1:17">
      <c r="A55" s="231"/>
      <c r="B55" s="130">
        <f>COUNTIFS(Table1[Gender], "Female", Table1[Race], "Asian", Table1[Age], "&gt;=14")</f>
        <v>0</v>
      </c>
      <c r="C55" s="78" t="s">
        <v>286</v>
      </c>
      <c r="D55" s="78" t="s">
        <v>222</v>
      </c>
      <c r="E55" s="237"/>
      <c r="G55" s="272"/>
      <c r="H55" s="123" t="s">
        <v>287</v>
      </c>
      <c r="I55" s="127">
        <f>SUM(Table36103[[#All],[Client Waiting List 1]], Table36103[Client Waiting List 2], Table36103[Client Waiting List 3],Table36103[Client Waiting List 4],Table36103[Client Waiting List 5],Table36103[Client Waiting List 6],Table36103[Client Waiting List 7],Table36103[Client Waiting List 8],Table36103[Client Waiting List 9])</f>
        <v>0</v>
      </c>
    </row>
    <row r="56" spans="1:17">
      <c r="A56" s="231"/>
      <c r="B56" s="130">
        <f>COUNTIFS(Table1[Gender], "Non-Binary/Other", Table1[Race], "Asian", Table1[Age], "&gt;=14")</f>
        <v>0</v>
      </c>
      <c r="C56" s="79" t="s">
        <v>288</v>
      </c>
      <c r="D56" s="79" t="s">
        <v>222</v>
      </c>
      <c r="E56" s="237"/>
      <c r="G56" s="272"/>
      <c r="H56" s="123" t="s">
        <v>289</v>
      </c>
      <c r="I56" s="124">
        <f>SUM(Table36103[[#All],[Reason Unknown 1]], Table36103[Reason Unknown 2], Table36103[Reason Unknown 3],Table36103[Reason Unknown 4],Table36103[Reason Unknown 5],Table36103[Reason Unknown 6],Table36103[Reason Unknown 7],Table36103[Reason Unknown 8],Table36103[Reason Unknown 9])</f>
        <v>0</v>
      </c>
    </row>
    <row r="57" spans="1:17" ht="24" thickBot="1">
      <c r="A57" s="231"/>
      <c r="B57" s="130">
        <f>COUNTIFS(Table1[Gender], "Male", Table1[Race], "American Indian/Alaskan Native", Table1[Age], "&lt;=10")</f>
        <v>0</v>
      </c>
      <c r="C57" s="78" t="s">
        <v>290</v>
      </c>
      <c r="D57" s="78" t="s">
        <v>222</v>
      </c>
      <c r="E57" s="237"/>
      <c r="G57" s="273"/>
      <c r="H57" s="131" t="s">
        <v>291</v>
      </c>
      <c r="I57" s="132">
        <f>SUM(Table36103[[#All],[Other 1]], Table36103[Other 2], Table36103[Other 3],Table36103[Other 4],Table36103[Other 5],Table36103[Other 6],Table36103[Other 7],Table36103[Other 8],Table36103[Other Reason 9])</f>
        <v>0</v>
      </c>
    </row>
    <row r="58" spans="1:17">
      <c r="A58" s="231"/>
      <c r="B58" s="130">
        <f>COUNTIFS(Table1[Gender], "Female", Table1[Race], "American Indian/Alaskan Native", Table1[Age], "&lt;=10")</f>
        <v>0</v>
      </c>
      <c r="C58" s="79" t="s">
        <v>292</v>
      </c>
      <c r="D58" s="79" t="s">
        <v>222</v>
      </c>
      <c r="E58" s="237"/>
    </row>
    <row r="59" spans="1:17" ht="24" thickBot="1">
      <c r="A59" s="231"/>
      <c r="B59" s="130">
        <f>COUNTIFS(Table1[Gender], "Non-Binary/Other", Table1[Race], "American Indian/Alaskan Native", Table1[Age], "&lt;=10")</f>
        <v>0</v>
      </c>
      <c r="C59" s="78" t="s">
        <v>293</v>
      </c>
      <c r="D59" s="78" t="s">
        <v>222</v>
      </c>
      <c r="E59" s="237"/>
    </row>
    <row r="60" spans="1:17" ht="24" thickBot="1">
      <c r="A60" s="231"/>
      <c r="B60" s="130">
        <f>COUNTIFS(Table1[Gender], "Male", Table1[Race], "American Indian/Alaskan Native", Table1[Age], "&gt;10", Table1[Age], "&lt;14")</f>
        <v>0</v>
      </c>
      <c r="C60" s="79" t="s">
        <v>294</v>
      </c>
      <c r="D60" s="79" t="s">
        <v>222</v>
      </c>
      <c r="E60" s="237"/>
      <c r="H60" s="276" t="s">
        <v>295</v>
      </c>
      <c r="I60" s="277"/>
      <c r="J60" s="277"/>
      <c r="K60" s="277"/>
      <c r="L60" s="277"/>
      <c r="M60" s="277"/>
      <c r="N60" s="277"/>
      <c r="O60" s="277"/>
      <c r="P60" s="277"/>
      <c r="Q60" s="278"/>
    </row>
    <row r="61" spans="1:17">
      <c r="A61" s="231"/>
      <c r="B61" s="130">
        <f>COUNTIFS(Table1[Gender], "Female", Table1[Race], "American Indian/Alaskan Native", Table1[Age], "&gt;10", Table1[Age], "&lt;14")</f>
        <v>0</v>
      </c>
      <c r="C61" s="78" t="s">
        <v>296</v>
      </c>
      <c r="D61" s="78" t="s">
        <v>222</v>
      </c>
      <c r="E61" s="237"/>
      <c r="G61" s="279" t="s">
        <v>297</v>
      </c>
      <c r="H61" s="111" t="s">
        <v>208</v>
      </c>
      <c r="I61" s="266" t="s">
        <v>209</v>
      </c>
      <c r="J61" s="267"/>
      <c r="K61" s="268"/>
      <c r="L61" s="266" t="s">
        <v>210</v>
      </c>
      <c r="M61" s="267"/>
      <c r="N61" s="268"/>
      <c r="O61" s="266" t="s">
        <v>211</v>
      </c>
      <c r="P61" s="267"/>
      <c r="Q61" s="268"/>
    </row>
    <row r="62" spans="1:17" ht="24" thickBot="1">
      <c r="A62" s="231"/>
      <c r="B62" s="130">
        <f>COUNTIFS(Table1[Gender], "Non-Binary/Other", Table1[Race], "American Indian/Alaskan Native", Table1[Age], "&gt;10", Table1[Age], "&lt;14")</f>
        <v>0</v>
      </c>
      <c r="C62" s="79" t="s">
        <v>298</v>
      </c>
      <c r="D62" s="79" t="s">
        <v>222</v>
      </c>
      <c r="E62" s="237"/>
      <c r="G62" s="280"/>
      <c r="H62" s="112" t="s">
        <v>8</v>
      </c>
      <c r="I62" s="113" t="s">
        <v>17</v>
      </c>
      <c r="J62" s="114" t="s">
        <v>14</v>
      </c>
      <c r="K62" s="115" t="s">
        <v>215</v>
      </c>
      <c r="L62" s="113" t="s">
        <v>17</v>
      </c>
      <c r="M62" s="114" t="s">
        <v>14</v>
      </c>
      <c r="N62" s="116" t="s">
        <v>215</v>
      </c>
      <c r="O62" s="117" t="s">
        <v>17</v>
      </c>
      <c r="P62" s="114" t="s">
        <v>14</v>
      </c>
      <c r="Q62" s="115" t="s">
        <v>215</v>
      </c>
    </row>
    <row r="63" spans="1:17">
      <c r="A63" s="231"/>
      <c r="B63" s="130">
        <f>COUNTIFS(Table1[Gender], "Male", Table1[Race], "American Indian/Alaskan Native", Table1[Age], "&gt;=14")</f>
        <v>0</v>
      </c>
      <c r="C63" s="78" t="s">
        <v>299</v>
      </c>
      <c r="D63" s="78" t="s">
        <v>222</v>
      </c>
      <c r="E63" s="237"/>
      <c r="G63" s="280"/>
      <c r="H63" s="118" t="s">
        <v>15</v>
      </c>
      <c r="I63" s="119">
        <f>COUNTIFS(Table1[Gender], "Male", Table1[Race], "White", Table1[Age], "&lt;=10")</f>
        <v>0</v>
      </c>
      <c r="J63" s="120">
        <f>COUNTIFS(Table1[Gender], "Female", Table1[Race], "White", Table1[Age], "&lt;=10")</f>
        <v>0</v>
      </c>
      <c r="K63" s="121">
        <f>COUNTIFS(Table1[Gender], "Non-Binary/Other", Table1[Race], "White", Table1[Age], "&lt;=10")</f>
        <v>0</v>
      </c>
      <c r="L63" s="119">
        <f>COUNTIFS(Table1[Gender], "Male", Table1[Race], "White", Table1[Age], "&gt;10", Table1[Age], "&lt;14")</f>
        <v>0</v>
      </c>
      <c r="M63" s="120">
        <f>COUNTIFS(Table1[Gender], "Female", Table1[Race], "White", Table1[Age], "&gt;10", Table1[Age], "&lt;14")</f>
        <v>0</v>
      </c>
      <c r="N63" s="121">
        <f>COUNTIFS(Table1[Gender], "Non-Binary/Other", Table1[Race], "White", Table1[Age], "&gt;10", Table1[Age], "&lt;14")</f>
        <v>0</v>
      </c>
      <c r="O63" s="119">
        <f>COUNTIFS(Table1[Gender], "Male", Table1[Race], "White", Table1[Age], "&gt;=14")</f>
        <v>0</v>
      </c>
      <c r="P63" s="120">
        <f>COUNTIFS(Table1[Gender], "Female", Table1[Race], "White", Table1[Age], "&gt;=14")</f>
        <v>0</v>
      </c>
      <c r="Q63" s="122">
        <f>COUNTIFS(Table1[Gender], "Non-Binary/Other", Table1[Race], "White", Table1[Age], "&gt;=14")</f>
        <v>0</v>
      </c>
    </row>
    <row r="64" spans="1:17">
      <c r="A64" s="231"/>
      <c r="B64" s="130">
        <f>COUNTIFS(Table1[Gender], "Female", Table1[Race], "American Indian/Alaskan Native", Table1[Age], "&gt;=14")</f>
        <v>0</v>
      </c>
      <c r="C64" s="79" t="s">
        <v>300</v>
      </c>
      <c r="D64" s="79" t="s">
        <v>222</v>
      </c>
      <c r="E64" s="237"/>
      <c r="G64" s="280"/>
      <c r="H64" s="123" t="s">
        <v>218</v>
      </c>
      <c r="I64" s="124">
        <f>COUNTIFS(Table1[Gender], "Male", Table1[Race], "Black or African American", Table1[Age], "&lt;=10")</f>
        <v>0</v>
      </c>
      <c r="J64" s="125">
        <f>COUNTIFS(Table1[Gender], "Female", Table1[Race], "Black or African American", Table1[Age], "&lt;=10")</f>
        <v>0</v>
      </c>
      <c r="K64" s="126">
        <f>COUNTIFS(Table1[Gender], "Non-Binary/Other", Table1[Race], "Black or African American", Table1[Age], "&lt;=10")</f>
        <v>0</v>
      </c>
      <c r="L64" s="124">
        <f>COUNTIFS(Table1[Gender], "Male", Table1[Race], "Black or African American", Table1[Age], "&gt;10", Table1[Age], "&lt;14")</f>
        <v>0</v>
      </c>
      <c r="M64" s="125">
        <f>COUNTIFS(Table1[Gender], "Female", Table1[Race], "Black or African American", Table1[Age], "&gt;10", Table1[Age], "&lt;14")</f>
        <v>0</v>
      </c>
      <c r="N64" s="126">
        <f>COUNTIFS(Table1[Gender], "Non-Binary/Other", Table1[Race], "Black or African American", Table1[Age], "&gt;10", Table1[Age], "&lt;14")</f>
        <v>0</v>
      </c>
      <c r="O64" s="124">
        <f>COUNTIFS(Table1[Gender], "Male", Table1[Race], "Black or African American", Table1[Age], "&gt;=14")</f>
        <v>0</v>
      </c>
      <c r="P64" s="125">
        <f>COUNTIFS(Table1[Gender], "Female", Table1[Race], "Black or African American", Table1[Age], "&gt;=14")</f>
        <v>0</v>
      </c>
      <c r="Q64" s="109">
        <f>COUNTIFS(Table1[Gender], "Non-Binary/Other", Table1[Race], "Black or African American", Table1[Age], "&gt;=14")</f>
        <v>0</v>
      </c>
    </row>
    <row r="65" spans="1:17">
      <c r="A65" s="231"/>
      <c r="B65" s="130">
        <f>COUNTIFS(Table1[Gender], "Non-Binary/Other", Table1[Race], "American Indian/Alaskan Native", Table1[Age], "&gt;=14")</f>
        <v>0</v>
      </c>
      <c r="C65" s="78" t="s">
        <v>301</v>
      </c>
      <c r="D65" s="78" t="s">
        <v>222</v>
      </c>
      <c r="E65" s="237"/>
      <c r="G65" s="280"/>
      <c r="H65" s="123" t="s">
        <v>219</v>
      </c>
      <c r="I65" s="127">
        <f>COUNTIFS(Table1[Gender], "Male", Table1[Race], "Hispanic", Table1[Age], "&lt;=10")</f>
        <v>0</v>
      </c>
      <c r="J65" s="128">
        <f>COUNTIFS(Table1[Gender], "Female", Table1[Race], "Hispanic", Table1[Age], "&lt;=10")</f>
        <v>0</v>
      </c>
      <c r="K65" s="129">
        <f>COUNTIFS(Table1[Gender], "Non-Binary/Other", Table1[Race], "Hispanic", Table1[Age], "&lt;=10")</f>
        <v>0</v>
      </c>
      <c r="L65" s="127">
        <f>COUNTIFS(Table1[Gender], "Male", Table1[Race], "Hispanic", Table1[Age], "&gt;10", Table1[Age], "&lt;14")</f>
        <v>0</v>
      </c>
      <c r="M65" s="128">
        <f>COUNTIFS(Table1[Gender], "Female", Table1[Race], "Hispanic", Table1[Age], "&gt;10", Table1[Age], "&lt;14")</f>
        <v>0</v>
      </c>
      <c r="N65" s="129">
        <f>COUNTIFS(Table1[Gender], "Non-Binary/Other", Table1[Race], "Hispanic", Table1[Age], "&gt;10", Table1[Age], "&lt;14")</f>
        <v>0</v>
      </c>
      <c r="O65" s="127">
        <f>COUNTIFS(Table1[Gender], "Male", Table1[Race], "Hispanic", Table1[Age], "&gt;=14")</f>
        <v>0</v>
      </c>
      <c r="P65" s="128">
        <f>COUNTIFS(Table1[Gender], "Female", Table1[Race], "Hispanic", Table1[Age], "&gt;=14")</f>
        <v>0</v>
      </c>
      <c r="Q65" s="100">
        <f>COUNTIFS(Table1[Gender], "Non-Binary/Other", Table1[Race], "Hispanic", Table1[Age], "&gt;=14")</f>
        <v>0</v>
      </c>
    </row>
    <row r="66" spans="1:17">
      <c r="A66" s="231"/>
      <c r="B66" s="130">
        <f>COUNTIFS(Table1[Gender], "Male", Table1[Race], "Multi-Racial", Table1[Age], "&lt;=10")</f>
        <v>0</v>
      </c>
      <c r="C66" s="79" t="s">
        <v>302</v>
      </c>
      <c r="D66" s="79" t="s">
        <v>222</v>
      </c>
      <c r="E66" s="237"/>
      <c r="G66" s="280"/>
      <c r="H66" s="123" t="s">
        <v>224</v>
      </c>
      <c r="I66" s="124">
        <f>COUNTIFS(Table1[Gender], "Male", Table1[Race], "Asian", Table1[Age], "&lt;=10")</f>
        <v>0</v>
      </c>
      <c r="J66" s="125">
        <f>COUNTIFS(Table1[Gender], "Female", Table1[Race], "Asian", Table1[Age], "&lt;=10")</f>
        <v>0</v>
      </c>
      <c r="K66" s="126">
        <f>COUNTIFS(Table1[Gender], "Non-Binary/Other", Table1[Race], "Asian", Table1[Age], "&lt;=10")</f>
        <v>0</v>
      </c>
      <c r="L66" s="124">
        <f>COUNTIFS(Table1[Gender], "Male", Table1[Race], "Asian", Table1[Age], "&gt;10", Table1[Age], "&lt;14")</f>
        <v>0</v>
      </c>
      <c r="M66" s="125">
        <f>COUNTIFS(Table1[Gender], "Female", Table1[Race], "Asian", Table1[Age], "&gt;10", Table1[Age], "&lt;14")</f>
        <v>0</v>
      </c>
      <c r="N66" s="126">
        <f>COUNTIFS(Table1[Gender], "Non-Binary/Other", Table1[Race], "Asian", Table1[Age], "&gt;10", Table1[Age], "&lt;14")</f>
        <v>0</v>
      </c>
      <c r="O66" s="124">
        <f>COUNTIFS(Table1[Gender], "Male", Table1[Race], "Asian", Table1[Age], "&gt;=14")</f>
        <v>0</v>
      </c>
      <c r="P66" s="125">
        <f>COUNTIFS(Table1[Gender], "Female", Table1[Race], "Asian", Table1[Age], "&gt;=14")</f>
        <v>0</v>
      </c>
      <c r="Q66" s="109">
        <f>COUNTIFS(Table1[Gender], "Non-Binary/Other", Table1[Race], "Asian", Table1[Age], "&gt;=14")</f>
        <v>0</v>
      </c>
    </row>
    <row r="67" spans="1:17">
      <c r="A67" s="231"/>
      <c r="B67" s="130">
        <f>COUNTIFS(Table1[Gender], "Female", Table1[Race], "Multi-Racial", Table1[Age], "&lt;=10")</f>
        <v>0</v>
      </c>
      <c r="C67" s="78" t="s">
        <v>303</v>
      </c>
      <c r="D67" s="78" t="s">
        <v>222</v>
      </c>
      <c r="E67" s="237"/>
      <c r="G67" s="280"/>
      <c r="H67" s="123" t="s">
        <v>226</v>
      </c>
      <c r="I67" s="127">
        <f>COUNTIFS(Table1[Gender], "Male", Table1[Race], "American Indian/Alaskan Native", Table1[Age], "&lt;=10")</f>
        <v>0</v>
      </c>
      <c r="J67" s="128">
        <f>COUNTIFS(Table1[Gender], "Female", Table1[Race], "American Indian/Alaskan Native", Table1[Age], "&lt;=10")</f>
        <v>0</v>
      </c>
      <c r="K67" s="129">
        <f>COUNTIFS(Table1[Gender], "Non-Binary/Other", Table1[Race], "American Indian/Alaskan Native", Table1[Age], "&lt;=10")</f>
        <v>0</v>
      </c>
      <c r="L67" s="127">
        <f>COUNTIFS(Table1[Gender], "Male", Table1[Race], "American Indian/Alaskan Native", Table1[Age], "&gt;10", Table1[Age], "&lt;14")</f>
        <v>0</v>
      </c>
      <c r="M67" s="128">
        <f>COUNTIFS(Table1[Gender], "Female", Table1[Race], "American Indian/Alaskan Native", Table1[Age], "&gt;10", Table1[Age], "&lt;14")</f>
        <v>0</v>
      </c>
      <c r="N67" s="129">
        <f>COUNTIFS(Table1[Gender], "Non-Binary/Other", Table1[Race], "American Indian/Alaskan Native", Table1[Age], "&gt;10", Table1[Age], "&lt;14")</f>
        <v>0</v>
      </c>
      <c r="O67" s="127">
        <f>COUNTIFS(Table1[Gender], "Male", Table1[Race], "American Indian/Alaskan Native", Table1[Age], "&gt;=14")</f>
        <v>0</v>
      </c>
      <c r="P67" s="128">
        <f>COUNTIFS(Table1[Gender], "Female", Table1[Race], "American Indian/Alaskan Native", Table1[Age], "&gt;=14")</f>
        <v>0</v>
      </c>
      <c r="Q67" s="100">
        <f>COUNTIFS(Table1[Gender], "Non-Binary/Other", Table1[Race], "American Indian/Alaskan Native", Table1[Age], "&gt;=14")</f>
        <v>0</v>
      </c>
    </row>
    <row r="68" spans="1:17">
      <c r="A68" s="231"/>
      <c r="B68" s="130">
        <f>COUNTIFS(Table1[Gender], "Non-Binary/Other", Table1[Race], "Multi-Racial", Table1[Age], "&lt;=10")</f>
        <v>0</v>
      </c>
      <c r="C68" s="79" t="s">
        <v>304</v>
      </c>
      <c r="D68" s="79" t="s">
        <v>222</v>
      </c>
      <c r="E68" s="237"/>
      <c r="G68" s="280"/>
      <c r="H68" s="123" t="s">
        <v>18</v>
      </c>
      <c r="I68" s="124">
        <f>COUNTIFS(Table1[Gender], "Male", Table1[Race], "Multi-Racial", Table1[Age], "&lt;=10")</f>
        <v>0</v>
      </c>
      <c r="J68" s="125">
        <f>COUNTIFS(Table1[Gender], "Female", Table1[Race], "Multi-Racial", Table1[Age], "&lt;=10")</f>
        <v>0</v>
      </c>
      <c r="K68" s="126">
        <f>COUNTIFS(Table1[Gender], "Non-Binary/Other", Table1[Race], "Multi-Racial", Table1[Age], "&lt;=10")</f>
        <v>0</v>
      </c>
      <c r="L68" s="124">
        <f>COUNTIFS(Table1[Gender], "Male", Table1[Race], "Multi-Racial", Table1[Age], "&gt;10", Table1[Age], "&lt;14")</f>
        <v>0</v>
      </c>
      <c r="M68" s="125">
        <f>COUNTIFS(Table1[Gender], "Female", Table1[Race], "Multi-Racial", Table1[Age], "&gt;10", Table1[Age], "&lt;14")</f>
        <v>0</v>
      </c>
      <c r="N68" s="126">
        <f>COUNTIFS(Table1[Gender], "Non-Binary/Other", Table1[Race], "Multi-Racial", Table1[Age], "&gt;10", Table1[Age], "&lt;14")</f>
        <v>0</v>
      </c>
      <c r="O68" s="124">
        <f>COUNTIFS(Table1[Gender], "Male", Table1[Race], "Multi-Racial", Table1[Age], "&gt;=14")</f>
        <v>0</v>
      </c>
      <c r="P68" s="125">
        <f>COUNTIFS(Table1[Gender], "Female", Table1[Race], "Multi-Racial", Table1[Age], "&gt;=14")</f>
        <v>0</v>
      </c>
      <c r="Q68" s="109">
        <f>COUNTIFS(Table1[Gender], "Non-Binary/Other", Table1[Race], "Multi-Racial", Table1[Age], "&gt;=14")</f>
        <v>0</v>
      </c>
    </row>
    <row r="69" spans="1:17" ht="38.25" thickBot="1">
      <c r="A69" s="231"/>
      <c r="B69" s="130">
        <f>COUNTIFS(Table1[Gender], "Male", Table1[Race], "Multi-Racial", Table1[Age], "&gt;10", Table1[Age], "&lt;14")</f>
        <v>0</v>
      </c>
      <c r="C69" s="78" t="s">
        <v>305</v>
      </c>
      <c r="D69" s="78" t="s">
        <v>222</v>
      </c>
      <c r="E69" s="237"/>
      <c r="G69" s="281"/>
      <c r="H69" s="131" t="s">
        <v>229</v>
      </c>
      <c r="I69" s="132">
        <f>COUNTIFS(Table1[Gender], "Male", Table1[Race], "Native Hawaiian or Other Pacific Islander", Table1[Age], "&lt;=10")</f>
        <v>0</v>
      </c>
      <c r="J69" s="133">
        <f>COUNTIFS(Table1[Gender], "Female", Table1[Race], "Native Hawaiian or Other Pacific Islander", Table1[Age], "&lt;=10")</f>
        <v>0</v>
      </c>
      <c r="K69" s="134">
        <f>COUNTIFS(Table1[Gender], "Non-Binary/Other", Table1[Race], "Native Hawaiian or Other Pacific Islander", Table1[Age], "&lt;=10")</f>
        <v>0</v>
      </c>
      <c r="L69" s="132">
        <f>COUNTIFS(Table1[Gender], "Male", Table1[Race], "Native Hawaiian or Other Pacific Islander", Table1[Age], "&gt;10", Table1[Age], "&lt;14")</f>
        <v>0</v>
      </c>
      <c r="M69" s="133">
        <f>COUNTIFS(Table1[Gender], "Female", Table1[Race], "Native Hawaiian or Other Pacific Islander", Table1[Age], "&gt;10", Table1[Age], "&lt;14")</f>
        <v>0</v>
      </c>
      <c r="N69" s="134">
        <f>COUNTIFS(Table1[Gender], "Non-Binary/Other", Table1[Race], "Native Hawaiian or Other Pacific Islander", Table1[Age], "&gt;10", Table1[Age], "&lt;14")</f>
        <v>0</v>
      </c>
      <c r="O69" s="132">
        <f>COUNTIFS(Table1[Gender], "Male", Table1[Race], "Native Hawaiian or Other Pacific Islander", Table1[Age], "&gt;=14")</f>
        <v>0</v>
      </c>
      <c r="P69" s="133">
        <f>COUNTIFS(Table1[Gender], "Female", Table1[Race], "Native Hawaiian or Other Pacific Islander", Table1[Age], "&gt;=14")</f>
        <v>0</v>
      </c>
      <c r="Q69" s="104">
        <f>COUNTIFS(Table1[Gender], "Non-Binary/Other", Table1[Race], "Native Hawaiian or Other Pacific Islander", Table1[Age], "&gt;=14")</f>
        <v>0</v>
      </c>
    </row>
    <row r="70" spans="1:17">
      <c r="A70" s="231"/>
      <c r="B70" s="130">
        <f>COUNTIFS(Table1[Gender], "Female", Table1[Race], "Multi-Racial", Table1[Age], "&gt;10", Table1[Age], "&lt;14")</f>
        <v>0</v>
      </c>
      <c r="C70" s="79" t="s">
        <v>306</v>
      </c>
      <c r="D70" s="79" t="s">
        <v>222</v>
      </c>
      <c r="E70" s="237"/>
    </row>
    <row r="71" spans="1:17">
      <c r="A71" s="231"/>
      <c r="B71" s="130">
        <f>COUNTIFS(Table1[Gender], "Non-Binary/Other", Table1[Race], "Multi-Racial", Table1[Age], "&gt;10", Table1[Age], "&lt;14")</f>
        <v>0</v>
      </c>
      <c r="C71" s="78" t="s">
        <v>307</v>
      </c>
      <c r="D71" s="78" t="s">
        <v>222</v>
      </c>
      <c r="E71" s="237"/>
    </row>
    <row r="72" spans="1:17" ht="24" thickBot="1">
      <c r="A72" s="231"/>
      <c r="B72" s="130">
        <f>COUNTIFS(Table1[Gender], "Male", Table1[Race], "Multi-Racial", Table1[Age], "&gt;=14")</f>
        <v>0</v>
      </c>
      <c r="C72" s="79" t="s">
        <v>308</v>
      </c>
      <c r="D72" s="79" t="s">
        <v>222</v>
      </c>
      <c r="E72" s="237"/>
    </row>
    <row r="73" spans="1:17" ht="24" thickBot="1">
      <c r="A73" s="231"/>
      <c r="B73" s="130">
        <f>COUNTIFS(Table1[Gender], "Female", Table1[Race], "Multi-Racial", Table1[Age], "&gt;=14")</f>
        <v>0</v>
      </c>
      <c r="C73" s="78" t="s">
        <v>309</v>
      </c>
      <c r="D73" s="78" t="s">
        <v>222</v>
      </c>
      <c r="E73" s="237"/>
      <c r="H73" s="299" t="s">
        <v>310</v>
      </c>
      <c r="I73" s="300"/>
      <c r="J73" s="300"/>
      <c r="K73" s="301"/>
    </row>
    <row r="74" spans="1:17" ht="24" thickBot="1">
      <c r="A74" s="231"/>
      <c r="B74" s="130">
        <f>COUNTIFS(Table1[Gender], "Non-Binary/Other", Table1[Race], "Multi-Racial", Table1[Age], "&gt;=14")</f>
        <v>0</v>
      </c>
      <c r="C74" s="79" t="s">
        <v>311</v>
      </c>
      <c r="D74" s="79" t="s">
        <v>222</v>
      </c>
      <c r="E74" s="237"/>
      <c r="G74" s="279" t="s">
        <v>297</v>
      </c>
      <c r="H74" s="136" t="s">
        <v>312</v>
      </c>
      <c r="I74" s="137" t="s">
        <v>209</v>
      </c>
      <c r="J74" s="138" t="s">
        <v>210</v>
      </c>
      <c r="K74" s="139" t="s">
        <v>211</v>
      </c>
    </row>
    <row r="75" spans="1:17">
      <c r="A75" s="231"/>
      <c r="B75" s="130">
        <f>COUNTIFS(Table1[Gender], "Male", Table1[Race], "Native Hawaiian or Other Pacific Islander", Table1[Age], "&lt;=10")</f>
        <v>0</v>
      </c>
      <c r="C75" s="78" t="s">
        <v>313</v>
      </c>
      <c r="D75" s="78" t="s">
        <v>222</v>
      </c>
      <c r="E75" s="237"/>
      <c r="G75" s="280"/>
      <c r="H75" s="140" t="s">
        <v>314</v>
      </c>
      <c r="I75" s="141"/>
      <c r="J75" s="120"/>
      <c r="K75" s="122"/>
    </row>
    <row r="76" spans="1:17">
      <c r="A76" s="231"/>
      <c r="B76" s="130">
        <f>COUNTIFS(Table1[Gender], "Female", Table1[Race], "Native Hawaiian or Other Pacific Islander", Table1[Age], "&lt;=10")</f>
        <v>0</v>
      </c>
      <c r="C76" s="79" t="s">
        <v>315</v>
      </c>
      <c r="D76" s="79" t="s">
        <v>222</v>
      </c>
      <c r="E76" s="237"/>
      <c r="G76" s="280"/>
      <c r="H76" s="148" t="s">
        <v>316</v>
      </c>
      <c r="I76" s="125">
        <f>SUM(I63:K69)</f>
        <v>0</v>
      </c>
      <c r="J76" s="143">
        <f>SUM(L63:N69)</f>
        <v>0</v>
      </c>
      <c r="K76" s="144">
        <f>SUM(O63:Q69)</f>
        <v>0</v>
      </c>
    </row>
    <row r="77" spans="1:17" ht="24" thickBot="1">
      <c r="A77" s="231"/>
      <c r="B77" s="130">
        <f>COUNTIFS(Table1[Gender], "Non-Binary/Other", Table1[Race], "Native Hawaiian or Other Pacific Islander", Table1[Age], "&lt;=10")</f>
        <v>0</v>
      </c>
      <c r="C77" s="78" t="s">
        <v>317</v>
      </c>
      <c r="D77" s="78" t="s">
        <v>222</v>
      </c>
      <c r="E77" s="237"/>
      <c r="G77" s="281"/>
      <c r="H77" s="112" t="s">
        <v>318</v>
      </c>
      <c r="I77" s="145"/>
      <c r="J77" s="133"/>
      <c r="K77" s="104"/>
    </row>
    <row r="78" spans="1:17">
      <c r="A78" s="231"/>
      <c r="B78" s="130">
        <f>COUNTIFS(Table1[Gender], "Male", Table1[Race], "Native Hawaiian or Other Pacific Islander", Table1[Age], "&gt;10", Table1[Age], "&lt;14")</f>
        <v>0</v>
      </c>
      <c r="C78" s="79" t="s">
        <v>319</v>
      </c>
      <c r="D78" s="79" t="s">
        <v>222</v>
      </c>
      <c r="E78" s="237"/>
    </row>
    <row r="79" spans="1:17" ht="24" thickBot="1">
      <c r="A79" s="231"/>
      <c r="B79" s="130">
        <f>COUNTIFS(Table1[Gender], "Female", Table1[Race], "Native Hawaiian or Other Pacific Islander", Table1[Age], "&gt;10", Table1[Age], "&lt;14")</f>
        <v>0</v>
      </c>
      <c r="C79" s="78" t="s">
        <v>320</v>
      </c>
      <c r="D79" s="78" t="s">
        <v>222</v>
      </c>
      <c r="E79" s="237"/>
    </row>
    <row r="80" spans="1:17" ht="41.25" thickBot="1">
      <c r="A80" s="231"/>
      <c r="B80" s="130">
        <f>COUNTIFS(Table1[Gender], "Non-Binary/Other", Table1[Race], "Native Hawaiian or Other Pacific Islander", Table1[Age], "&gt;10", Table1[Age], "&lt;14")</f>
        <v>0</v>
      </c>
      <c r="C80" s="79" t="s">
        <v>321</v>
      </c>
      <c r="D80" s="79" t="s">
        <v>222</v>
      </c>
      <c r="E80" s="237"/>
      <c r="H80" s="302" t="s">
        <v>322</v>
      </c>
      <c r="I80" s="303"/>
      <c r="J80" s="303"/>
      <c r="K80" s="304"/>
      <c r="M80" s="149" t="s">
        <v>323</v>
      </c>
    </row>
    <row r="81" spans="1:17" ht="24" thickBot="1">
      <c r="A81" s="231"/>
      <c r="B81" s="130">
        <f>COUNTIFS(Table1[Gender], "Male", Table1[Race], "Native Hawaiian or Other Pacific Islander", Table1[Age], "&gt;=14")</f>
        <v>0</v>
      </c>
      <c r="C81" s="78" t="s">
        <v>324</v>
      </c>
      <c r="D81" s="78" t="s">
        <v>222</v>
      </c>
      <c r="E81" s="237"/>
      <c r="G81" s="305" t="s">
        <v>325</v>
      </c>
      <c r="H81" s="136" t="s">
        <v>235</v>
      </c>
      <c r="I81" s="137" t="s">
        <v>209</v>
      </c>
      <c r="J81" s="138" t="s">
        <v>210</v>
      </c>
      <c r="K81" s="139" t="s">
        <v>211</v>
      </c>
      <c r="M81" s="149"/>
    </row>
    <row r="82" spans="1:17">
      <c r="A82" s="231"/>
      <c r="B82" s="130">
        <f>COUNTIFS(Table1[Gender], "Female", Table1[Race], "Native Hawaiian or Other Pacific Islander", Table1[Age], "&gt;=14")</f>
        <v>0</v>
      </c>
      <c r="C82" s="79" t="s">
        <v>326</v>
      </c>
      <c r="D82" s="79" t="s">
        <v>222</v>
      </c>
      <c r="E82" s="237"/>
      <c r="G82" s="306"/>
      <c r="H82" s="140" t="s">
        <v>237</v>
      </c>
      <c r="I82" s="141" t="b">
        <f xml:space="preserve"> IF(SUM(B74:B76,B83:B85,B92:B94,B101:B103,B110:B112,B119:B121,B128:B130) &lt;&gt; 0,
 COUNTIFS(Table36103[Age],"&lt;=10",
          Table36103[Screening Results: Drug &amp; Alcohol Assessment 1], "No Recommendation"))</f>
        <v>0</v>
      </c>
      <c r="J82" s="120" t="b">
        <f xml:space="preserve"> IF(SUM(B77:B79,B86:B88,B95:B97,B104:B106,B113:B115,B122:B124,B131:B133) &lt;&gt; 0,
 COUNTIFS(Table36103[Age],"&gt;10", Table36103[Age],"&lt;14",
          Table36103[Screening Results: Drug &amp; Alcohol Assessment 1], "No Recommendation"))</f>
        <v>0</v>
      </c>
      <c r="K82" s="122" t="b">
        <f xml:space="preserve"> IF(SUM(B80:B82,B89:B91,B98:B100,B107:B109,B116:B118,B125:B127,B134:B136) &lt;&gt; 0,
 COUNTIFS(Table36103[Age],"&gt;=14",
          Table36103[Screening Results: Drug &amp; Alcohol Assessment 1], "No Recommendation"))</f>
        <v>0</v>
      </c>
      <c r="M82" s="149"/>
    </row>
    <row r="83" spans="1:17">
      <c r="A83" s="231"/>
      <c r="B83" s="130">
        <f>COUNTIFS(Table1[Gender], "Non-Binary/Other", Table1[Race], "Native Hawaiian or Other Pacific Islander", Table1[Age], "&gt;=14")</f>
        <v>0</v>
      </c>
      <c r="C83" s="78" t="s">
        <v>327</v>
      </c>
      <c r="D83" s="78" t="s">
        <v>222</v>
      </c>
      <c r="E83" s="237"/>
      <c r="G83" s="306"/>
      <c r="H83" s="142" t="s">
        <v>239</v>
      </c>
      <c r="I83" s="125" t="b">
        <f xml:space="preserve"> IF(SUM(B74:B76,B83:B85,B92:B94,B101:B103,B110:B112,B119:B121,B128:B130) &lt;&gt; 0,
 COUNTIFS(Table36103[Age],"&lt;=10",
          Table36103[Screening Results: Drug &amp; Alcohol Assessment 1], "Continue with existing treatment services"))</f>
        <v>0</v>
      </c>
      <c r="J83" s="143" t="b">
        <f xml:space="preserve"> IF(SUM(B77:B79,B86:B88,B95:B97,B104:B106,B113:B115,B122:B124,B131:B133) &lt;&gt; 0,
 COUNTIFS(Table36103[Age],"&gt;10", Table36103[Age],"&lt;14",
          Table36103[Screening Results: Drug &amp; Alcohol Assessment 1], "Continue with existing treatment services"))</f>
        <v>0</v>
      </c>
      <c r="K83" s="144" t="b">
        <f xml:space="preserve"> IF(SUM(B80:B82,B89:B91,B98:B100,B107:B109,B116:B118,B125:B127,B134:B136) &lt;&gt; 0,
 COUNTIFS(Table36103[Age],"&gt;=14",
          Table36103[Screening Results: Drug &amp; Alcohol Assessment 1], "Continue with existing treatment services"))</f>
        <v>0</v>
      </c>
      <c r="M83" s="149"/>
    </row>
    <row r="84" spans="1:17" ht="19.5" thickBot="1">
      <c r="A84" s="308" t="s">
        <v>233</v>
      </c>
      <c r="B84" s="309"/>
      <c r="C84" s="309"/>
      <c r="D84" s="309"/>
      <c r="E84" s="310"/>
      <c r="G84" s="307"/>
      <c r="H84" s="112" t="s">
        <v>241</v>
      </c>
      <c r="I84" s="145" t="b">
        <f xml:space="preserve"> IF(SUM(B74:B76,B83:B85,B92:B94,B101:B103,B110:B112,B119:B121,B128:B130) &lt;&gt; 0,
 COUNTIFS(Table36103[Age],"&lt;=10",
          Table36103[Screening Results: Drug &amp; Alcohol Assessment 1], "Start New Service"))</f>
        <v>0</v>
      </c>
      <c r="J84" s="133" t="b">
        <f xml:space="preserve"> IF(SUM(B77:B79,B86:B88,B95:B97,B104:B106,B113:B115,B122:B124,B131:B133) &lt;&gt; 0,
 COUNTIFS(Table36103[Age],"&gt;10", Table36103[Age],"&lt;14",
          Table36103[Screening Results: Drug &amp; Alcohol Assessment 1], "Start New Service"))</f>
        <v>0</v>
      </c>
      <c r="K84" s="104" t="b">
        <f xml:space="preserve"> IF(SUM(B80:B82,B89:B91,B98:B100,B107:B109,B116:B118,B125:B127,B134:B136) &lt;&gt; 0,
 COUNTIFS(Table36103[Age],"&gt;=14",
          Table36103[Screening Results: Drug &amp; Alcohol Assessment 1], "Start New Service"))</f>
        <v>0</v>
      </c>
      <c r="M84" s="149"/>
    </row>
    <row r="85" spans="1:17">
      <c r="A85" s="231" t="s">
        <v>328</v>
      </c>
      <c r="B85" s="150" t="b">
        <f xml:space="preserve"> IF(SUM(B21:B23,B30:B32,B39:B41,B48:B50,B57:B59,B66:B68,B75:B77) &lt;&gt; 0,
 COUNTIFS(Table36103[Age],"&lt;=10",
          Table36103[Screening Results: Drug &amp; Alcohol Assessment 1], "No Recommendation"))</f>
        <v>0</v>
      </c>
      <c r="C85" s="78" t="s">
        <v>329</v>
      </c>
      <c r="D85" s="151" t="s">
        <v>222</v>
      </c>
      <c r="E85" s="311" t="s">
        <v>330</v>
      </c>
    </row>
    <row r="86" spans="1:17" ht="24" thickBot="1">
      <c r="A86" s="231"/>
      <c r="B86" s="130" t="b">
        <f xml:space="preserve"> IF(SUM(B21:B23,B30:B32,B39:B41,B48:B50,B57:B59,B66:B68,B75:B77) &lt;&gt; 0,
 COUNTIFS(Table36103[Age],"&lt;=10",
          Table36103[Screening Results: Drug &amp; Alcohol Assessment 1], "Continue with existing treatment services"))</f>
        <v>0</v>
      </c>
      <c r="C86" s="79" t="s">
        <v>331</v>
      </c>
      <c r="D86" s="152" t="s">
        <v>222</v>
      </c>
      <c r="E86" s="312"/>
    </row>
    <row r="87" spans="1:17" ht="24" thickBot="1">
      <c r="A87" s="231"/>
      <c r="B87" s="153" t="b">
        <f xml:space="preserve"> IF(SUM(B21:B23,B30:B32,B39:B41,B48:B50,B57:B59,B66:B68,B75:B77) &lt;&gt; 0,
 COUNTIFS(Table36103[Age],"&lt;=10",
          Table36103[Screening Results: Drug &amp; Alcohol Assessment 1], "Start New Service"))</f>
        <v>0</v>
      </c>
      <c r="C87" s="78" t="s">
        <v>332</v>
      </c>
      <c r="D87" s="151" t="s">
        <v>222</v>
      </c>
      <c r="E87" s="313"/>
      <c r="H87" s="314" t="s">
        <v>333</v>
      </c>
      <c r="I87" s="315"/>
      <c r="J87" s="315"/>
      <c r="K87" s="315"/>
      <c r="L87" s="315"/>
      <c r="M87" s="315"/>
      <c r="N87" s="315"/>
      <c r="O87" s="315"/>
      <c r="P87" s="315"/>
      <c r="Q87" s="316"/>
    </row>
    <row r="88" spans="1:17">
      <c r="A88" s="231"/>
      <c r="B88" s="150" t="b">
        <f xml:space="preserve"> IF(SUM(B24:B26,B33:B35,B42:B44,B51:B53,B60:B62,B69:B71,B78:B80) &lt;&gt; 0,
 COUNTIFS(Table36103[Age],"&gt;10", Table36103[Age],"&lt;14",
          Table36103[Screening Results: Drug &amp; Alcohol Assessment 1], "No Recommendation"))</f>
        <v>0</v>
      </c>
      <c r="C88" s="79" t="s">
        <v>334</v>
      </c>
      <c r="D88" s="152" t="s">
        <v>222</v>
      </c>
      <c r="E88" s="311" t="s">
        <v>335</v>
      </c>
      <c r="G88" s="305" t="s">
        <v>325</v>
      </c>
      <c r="H88" s="319" t="s">
        <v>336</v>
      </c>
      <c r="I88" s="293" t="s">
        <v>209</v>
      </c>
      <c r="J88" s="294"/>
      <c r="K88" s="295"/>
      <c r="L88" s="293" t="s">
        <v>210</v>
      </c>
      <c r="M88" s="294"/>
      <c r="N88" s="295"/>
      <c r="O88" s="293" t="s">
        <v>211</v>
      </c>
      <c r="P88" s="294"/>
      <c r="Q88" s="295"/>
    </row>
    <row r="89" spans="1:17">
      <c r="A89" s="231"/>
      <c r="B89" s="130" t="b">
        <f xml:space="preserve"> IF(SUM(B24:B26,B33:B35,B42:B44,B51:B53,B60:B62,B69:B71,B78:B80) &lt;&gt; 0,
 COUNTIFS(Table36103[Age],"&gt;10", Table36103[Age],"&lt;14",
          Table36103[Screening Results: Drug &amp; Alcohol Assessment 1], "Continue with existing treatment services"))</f>
        <v>0</v>
      </c>
      <c r="C89" s="78" t="s">
        <v>337</v>
      </c>
      <c r="D89" s="151" t="s">
        <v>222</v>
      </c>
      <c r="E89" s="312"/>
      <c r="G89" s="306"/>
      <c r="H89" s="319"/>
      <c r="I89" s="296" t="s">
        <v>249</v>
      </c>
      <c r="J89" s="297"/>
      <c r="K89" s="298"/>
      <c r="L89" s="296" t="s">
        <v>249</v>
      </c>
      <c r="M89" s="297"/>
      <c r="N89" s="298"/>
      <c r="O89" s="296" t="s">
        <v>249</v>
      </c>
      <c r="P89" s="297"/>
      <c r="Q89" s="298"/>
    </row>
    <row r="90" spans="1:17" ht="24" thickBot="1">
      <c r="A90" s="231"/>
      <c r="B90" s="153" t="b">
        <f xml:space="preserve"> IF(SUM(B24:B26,B33:B35,B42:B44,B51:B53,B60:B62,B69:B71,B78:B80) &lt;&gt; 0,
 COUNTIFS(Table36103[Age],"&gt;10", Table36103[Age],"&lt;14",
          Table36103[Screening Results: Drug &amp; Alcohol Assessment 1], "Start New Service"))</f>
        <v>0</v>
      </c>
      <c r="C90" s="79" t="s">
        <v>338</v>
      </c>
      <c r="D90" s="152" t="s">
        <v>222</v>
      </c>
      <c r="E90" s="313"/>
      <c r="G90" s="306"/>
      <c r="H90" s="319"/>
      <c r="I90" s="113" t="s">
        <v>3</v>
      </c>
      <c r="J90" s="114" t="s">
        <v>38</v>
      </c>
      <c r="K90" s="115" t="s">
        <v>251</v>
      </c>
      <c r="L90" s="113" t="s">
        <v>3</v>
      </c>
      <c r="M90" s="114" t="s">
        <v>38</v>
      </c>
      <c r="N90" s="115" t="s">
        <v>251</v>
      </c>
      <c r="O90" s="113" t="s">
        <v>3</v>
      </c>
      <c r="P90" s="114" t="s">
        <v>38</v>
      </c>
      <c r="Q90" s="115" t="s">
        <v>251</v>
      </c>
    </row>
    <row r="91" spans="1:17">
      <c r="A91" s="231"/>
      <c r="B91" s="150" t="b">
        <f xml:space="preserve"> IF(SUM(B27:B29,B36:B38,B45:B47,B54:B56,B63:B65,B72:B74,B81:B83) &lt;&gt; 0,
 COUNTIFS(Table36103[Age],"&gt;=14",
          Table36103[Screening Results: Drug &amp; Alcohol Assessment 1], "No Recommendation"))</f>
        <v>0</v>
      </c>
      <c r="C91" s="78" t="s">
        <v>339</v>
      </c>
      <c r="D91" s="151" t="s">
        <v>222</v>
      </c>
      <c r="E91" s="311" t="s">
        <v>340</v>
      </c>
      <c r="G91" s="317"/>
      <c r="H91" s="154" t="s">
        <v>341</v>
      </c>
      <c r="I91" s="119">
        <f>COUNTIFS(Table3610345[Age], "&lt;=10", Table3610345[Service Accessed 1], "Yes")</f>
        <v>0</v>
      </c>
      <c r="J91" s="120">
        <f>COUNTIFS(Table361034[Age], "&lt;=10", Table361034[Service Accessed 1], "No")</f>
        <v>0</v>
      </c>
      <c r="K91" s="121">
        <f>COUNTIFS(Table361034[Age], "&lt;=10", Table361034[Service Accessed 1], "Don't Know")</f>
        <v>0</v>
      </c>
      <c r="L91" s="119">
        <f>COUNTIFS(Table361034[Age], "&gt;=14", Table361034[Service Accessed 1], "Yes")</f>
        <v>0</v>
      </c>
      <c r="M91" s="120">
        <f>COUNTIFS(Table361034[Age], "&gt;10", Table361034[Age], "&lt;14", Table361034[Service Accessed 1], "No")</f>
        <v>0</v>
      </c>
      <c r="N91" s="121">
        <f>COUNTIFS(Table361034[Age], "&gt;10", Table361034[Age], "&lt;14", Table361034[Service Accessed 1], "Don't Know")</f>
        <v>0</v>
      </c>
      <c r="O91" s="119">
        <f>COUNTIFS(Table361034[Age], "&gt;=14", Table361034[Service Accessed 1], "Yes")</f>
        <v>0</v>
      </c>
      <c r="P91" s="120">
        <f>COUNTIFS(Table361034[Age], "&gt;=14", Table361034[Service Accessed 1], "No")</f>
        <v>0</v>
      </c>
      <c r="Q91" s="122">
        <f>COUNTIFS(Table361034[Age], "&gt;=14", Table361034[Service Accessed 1], "Don't Know")</f>
        <v>0</v>
      </c>
    </row>
    <row r="92" spans="1:17" ht="37.5">
      <c r="A92" s="231"/>
      <c r="B92" s="130" t="b">
        <f xml:space="preserve"> IF(SUM(B27:B29,B36:B38,B45:B47,B54:B56,B63:B65,B72:B74,B81:B83) &lt;&gt; 0,
 COUNTIFS(Table36103[Age],"&gt;=14",
          Table36103[Screening Results: Drug &amp; Alcohol Assessment 1], "Continue with existing treatment services"))</f>
        <v>0</v>
      </c>
      <c r="C92" s="79" t="s">
        <v>342</v>
      </c>
      <c r="D92" s="152" t="s">
        <v>222</v>
      </c>
      <c r="E92" s="312"/>
      <c r="G92" s="317"/>
      <c r="H92" s="155" t="s">
        <v>343</v>
      </c>
      <c r="I92" s="124">
        <f>COUNTIFS(Table361034[Age], "&lt;=10", Table361034[Service Accessed 2], "Yes")</f>
        <v>0</v>
      </c>
      <c r="J92" s="125">
        <f>COUNTIFS(Table361034[Age], "&lt;=10", Table361034[Service Accessed 2], "No")</f>
        <v>0</v>
      </c>
      <c r="K92" s="126">
        <f>COUNTIFS(Table361034[Age], "&lt;=10", Table361034[Service Accessed 2], "Don't Know")</f>
        <v>0</v>
      </c>
      <c r="L92" s="124">
        <f>COUNTIFS(Table361034[Age], "&gt;10", Table361034[Age], "&lt;14", Table361034[Service Accessed 2], "Yes")</f>
        <v>0</v>
      </c>
      <c r="M92" s="125">
        <f>COUNTIFS(Table361034[Age], "&gt;10", Table361034[Age], "&lt;14", Table361034[Service Accessed 2], "No")</f>
        <v>0</v>
      </c>
      <c r="N92" s="126">
        <f>COUNTIFS(Table361034[Age], "&gt;10", Table361034[Age], "&lt;14", Table361034[Service Accessed 2], "Don't Know")</f>
        <v>0</v>
      </c>
      <c r="O92" s="124">
        <f>COUNTIFS(Table361034[Age], "&gt;=14", Table361034[Service Accessed 2], "Yes")</f>
        <v>0</v>
      </c>
      <c r="P92" s="125">
        <f>COUNTIFS(Table361034[Age], "&gt;=14", Table361034[Service Accessed 2], "No")</f>
        <v>0</v>
      </c>
      <c r="Q92" s="109">
        <f>COUNTIFS(Table361034[Age], "&gt;=14", Table361034[Service Accessed 2], "Don't Know")</f>
        <v>0</v>
      </c>
    </row>
    <row r="93" spans="1:17" ht="37.5">
      <c r="A93" s="229"/>
      <c r="B93" s="153" t="b">
        <f xml:space="preserve"> IF(SUM(B27:B29,B36:B38,B45:B47,B54:B56,B63:B65,B72:B74,B81:B83) &lt;&gt; 0,
 COUNTIFS(Table36103[Age],"&gt;=14",
          Table36103[Screening Results: Drug &amp; Alcohol Assessment 1], "Start New Service"))</f>
        <v>0</v>
      </c>
      <c r="C93" s="80" t="s">
        <v>344</v>
      </c>
      <c r="D93" s="156" t="s">
        <v>222</v>
      </c>
      <c r="E93" s="312"/>
      <c r="G93" s="317"/>
      <c r="H93" s="155" t="s">
        <v>345</v>
      </c>
      <c r="I93" s="127">
        <f>COUNTIFS(Table361034[Age], "&lt;=10", Table361034[Service Accessed 3], "Yes")</f>
        <v>0</v>
      </c>
      <c r="J93" s="128">
        <f>COUNTIFS(Table361034[Age], "&lt;=10", Table361034[Service Accessed 3], "No")</f>
        <v>0</v>
      </c>
      <c r="K93" s="129">
        <f>COUNTIFS(Table361034[Age], "&lt;=10", Table361034[Service Accessed 3], "Don't Know")</f>
        <v>0</v>
      </c>
      <c r="L93" s="127">
        <f>COUNTIFS(Table361034[Age], "&gt;10", Table361034[Age], "&lt;14", Table361034[Service Accessed 3], "Yes")</f>
        <v>0</v>
      </c>
      <c r="M93" s="128">
        <f>COUNTIFS(Table361034[Age], "&gt;10", Table361034[Age], "&lt;14", Table361034[Service Accessed 3], "No")</f>
        <v>0</v>
      </c>
      <c r="N93" s="129">
        <f>COUNTIFS(Table361034[Age], "&gt;10", Table361034[Age], "&lt;14", Table361034[Service Accessed 3], "Don't Know")</f>
        <v>0</v>
      </c>
      <c r="O93" s="127">
        <f>COUNTIFS(Table361034[Age], "&gt;=14", Table361034[Service Accessed 3], "Yes")</f>
        <v>0</v>
      </c>
      <c r="P93" s="128">
        <f>COUNTIFS(Table361034[Age], "&gt;=14", Table361034[Service Accessed 3], "No")</f>
        <v>0</v>
      </c>
      <c r="Q93" s="100">
        <f>COUNTIFS(Table361034[Age], "&gt;=14", Table361034[Service Accessed 3], "Don't Know")</f>
        <v>0</v>
      </c>
    </row>
    <row r="94" spans="1:17" ht="18.75">
      <c r="A94" s="269" t="s">
        <v>346</v>
      </c>
      <c r="B94" s="269"/>
      <c r="C94" s="269"/>
      <c r="D94" s="269"/>
      <c r="E94" s="269"/>
      <c r="G94" s="317"/>
      <c r="H94" s="155" t="s">
        <v>347</v>
      </c>
      <c r="I94" s="124">
        <f>COUNTIFS(Table361034[Age], "&lt;=10", Table361034[Service Accessed 4], "Yes")</f>
        <v>0</v>
      </c>
      <c r="J94" s="125">
        <f>COUNTIFS(Table361034[Age], "&lt;=10", Table361034[Service Accessed 4], "No")</f>
        <v>0</v>
      </c>
      <c r="K94" s="126">
        <f>COUNTIFS(Table361034[Age], "&lt;=10", Table361034[Service Accessed 4], "Don't Know")</f>
        <v>0</v>
      </c>
      <c r="L94" s="124">
        <f>COUNTIFS(Table361034[Age], "&gt;10", Table361034[Age], "&lt;14", Table361034[Service Accessed 4], "Yes")</f>
        <v>0</v>
      </c>
      <c r="M94" s="125">
        <f>COUNTIFS(Table361034[Age], "&gt;10", Table361034[Age], "&lt;14", Table361034[Service Accessed 4], "No")</f>
        <v>0</v>
      </c>
      <c r="N94" s="126">
        <f>COUNTIFS(Table361034[Age], "&gt;10", Table361034[Age], "&lt;14", Table361034[Service Accessed 4], "Don't Know")</f>
        <v>0</v>
      </c>
      <c r="O94" s="124">
        <f>COUNTIFS(Table361034[Age], "&gt;=14", Table361034[Service Accessed 4], "Yes")</f>
        <v>0</v>
      </c>
      <c r="P94" s="125">
        <f>COUNTIFS(Table361034[Age], "&gt;=14", Table361034[Service Accessed 4], "No")</f>
        <v>0</v>
      </c>
      <c r="Q94" s="109">
        <f>COUNTIFS(Table361034[Age], "&gt;=14", Table361034[Service Accessed 4], "Don't Know")</f>
        <v>0</v>
      </c>
    </row>
    <row r="95" spans="1:17" ht="24" thickBot="1">
      <c r="A95" s="231" t="s">
        <v>348</v>
      </c>
      <c r="B95" s="157">
        <f>COUNTIFS(Table36103[Age], "&lt;=10", Table36103[Service Accessed 1], "Yes")</f>
        <v>0</v>
      </c>
      <c r="C95" s="78" t="s">
        <v>349</v>
      </c>
      <c r="D95" s="78" t="s">
        <v>222</v>
      </c>
      <c r="E95" s="320" t="s">
        <v>350</v>
      </c>
      <c r="G95" s="318"/>
      <c r="H95" s="158" t="s">
        <v>351</v>
      </c>
      <c r="I95" s="132">
        <f>COUNTIFS(Table361034[Age], "&lt;=10", Table361034[Service Accessed 5], "Yes")</f>
        <v>0</v>
      </c>
      <c r="J95" s="133">
        <f>COUNTIFS(Table361034[Age], "&lt;=10", Table361034[Service Accessed 5], "No")</f>
        <v>0</v>
      </c>
      <c r="K95" s="134">
        <f>COUNTIFS(Table361034[Age], "&lt;=10", Table361034[Service Accessed 5], "Don't Know")</f>
        <v>0</v>
      </c>
      <c r="L95" s="132">
        <f>COUNTIFS(Table361034[Age], "&gt;10", Table361034[Age], "&lt;14", Table361034[Service Accessed 5], "Yes")</f>
        <v>0</v>
      </c>
      <c r="M95" s="133">
        <f>COUNTIFS(Table361034[Age], "&gt;10", Table361034[Age], "&lt;14", Table361034[Service Accessed 5], "No")</f>
        <v>0</v>
      </c>
      <c r="N95" s="134">
        <f>COUNTIFS(Table361034[Age], "&gt;10", Table361034[Age], "&lt;14", Table361034[Service Accessed 5], "Don't Know")</f>
        <v>0</v>
      </c>
      <c r="O95" s="132">
        <f>COUNTIFS(Table361034[Age], "&gt;=14", Table361034[Service Accessed 5], "Yes")</f>
        <v>0</v>
      </c>
      <c r="P95" s="133">
        <f>COUNTIFS(Table361034[Age], "&gt;=14", Table361034[Service Accessed 5], "No")</f>
        <v>0</v>
      </c>
      <c r="Q95" s="104">
        <f>COUNTIFS(Table361034[Age], "&gt;=14", Table361034[Service Accessed 5], "Don't Know")</f>
        <v>0</v>
      </c>
    </row>
    <row r="96" spans="1:17">
      <c r="A96" s="231"/>
      <c r="B96" s="157">
        <f>COUNTIFS(Table36103[Age], "&lt;=10", Table36103[Service Accessed 1], "No")</f>
        <v>0</v>
      </c>
      <c r="C96" s="79" t="s">
        <v>352</v>
      </c>
      <c r="D96" s="79" t="s">
        <v>222</v>
      </c>
      <c r="E96" s="234"/>
    </row>
    <row r="97" spans="1:20" ht="24" thickBot="1">
      <c r="A97" s="231"/>
      <c r="B97" s="157">
        <f>COUNTIFS(Table36103[Age], "&lt;=10", Table36103[Service Accessed 1], "Don't Know")</f>
        <v>0</v>
      </c>
      <c r="C97" s="78" t="s">
        <v>353</v>
      </c>
      <c r="D97" s="78" t="s">
        <v>222</v>
      </c>
      <c r="E97" s="234"/>
    </row>
    <row r="98" spans="1:20" ht="23.25" customHeight="1" thickBot="1">
      <c r="A98" s="231"/>
      <c r="B98" s="157">
        <f>COUNTIFS(Table36103[Age], "&lt;=10", Table36103[Service Accessed 2], "Yes")</f>
        <v>0</v>
      </c>
      <c r="C98" s="79" t="s">
        <v>354</v>
      </c>
      <c r="D98" s="79" t="s">
        <v>222</v>
      </c>
      <c r="E98" s="234"/>
      <c r="H98" s="321" t="s">
        <v>355</v>
      </c>
      <c r="I98" s="322"/>
      <c r="J98" s="322"/>
      <c r="K98" s="322"/>
      <c r="L98" s="322"/>
      <c r="M98" s="322"/>
      <c r="N98" s="322"/>
      <c r="O98" s="322"/>
      <c r="P98" s="322"/>
      <c r="Q98" s="323"/>
      <c r="S98" s="329" t="s">
        <v>356</v>
      </c>
      <c r="T98" s="329"/>
    </row>
    <row r="99" spans="1:20" ht="23.25" customHeight="1">
      <c r="A99" s="231"/>
      <c r="B99" s="157">
        <f>COUNTIFS(Table36103[Age], "&lt;=10", Table36103[Service Accessed 2], "No")</f>
        <v>0</v>
      </c>
      <c r="C99" s="78" t="s">
        <v>357</v>
      </c>
      <c r="D99" s="78" t="s">
        <v>222</v>
      </c>
      <c r="E99" s="234"/>
      <c r="G99" s="324" t="s">
        <v>358</v>
      </c>
      <c r="H99" s="330" t="s">
        <v>359</v>
      </c>
      <c r="I99" s="266" t="s">
        <v>209</v>
      </c>
      <c r="J99" s="267"/>
      <c r="K99" s="268"/>
      <c r="L99" s="266" t="s">
        <v>210</v>
      </c>
      <c r="M99" s="267"/>
      <c r="N99" s="268"/>
      <c r="O99" s="266" t="s">
        <v>211</v>
      </c>
      <c r="P99" s="267"/>
      <c r="Q99" s="268"/>
      <c r="S99" s="329"/>
      <c r="T99" s="329"/>
    </row>
    <row r="100" spans="1:20" ht="23.25" customHeight="1">
      <c r="A100" s="231"/>
      <c r="B100" s="157">
        <f>COUNTIFS(Table36103[Age], "&lt;=10", Table36103[Service Accessed 2], "Don't Know")</f>
        <v>0</v>
      </c>
      <c r="C100" s="79" t="s">
        <v>360</v>
      </c>
      <c r="D100" s="79" t="s">
        <v>222</v>
      </c>
      <c r="E100" s="234"/>
      <c r="G100" s="325"/>
      <c r="H100" s="331"/>
      <c r="I100" s="296" t="s">
        <v>249</v>
      </c>
      <c r="J100" s="297"/>
      <c r="K100" s="298"/>
      <c r="L100" s="296" t="s">
        <v>249</v>
      </c>
      <c r="M100" s="297"/>
      <c r="N100" s="298"/>
      <c r="O100" s="296" t="s">
        <v>249</v>
      </c>
      <c r="P100" s="297"/>
      <c r="Q100" s="298"/>
      <c r="S100" s="329"/>
      <c r="T100" s="329"/>
    </row>
    <row r="101" spans="1:20" ht="24" thickBot="1">
      <c r="A101" s="231"/>
      <c r="B101" s="157">
        <f>COUNTIFS(Table36103[Age], "&lt;=10", Table36103[Service Accessed 3], "Yes")</f>
        <v>0</v>
      </c>
      <c r="C101" s="78" t="s">
        <v>361</v>
      </c>
      <c r="D101" s="78" t="s">
        <v>222</v>
      </c>
      <c r="E101" s="234"/>
      <c r="G101" s="325"/>
      <c r="H101" s="332"/>
      <c r="I101" s="113" t="s">
        <v>3</v>
      </c>
      <c r="J101" s="114" t="s">
        <v>38</v>
      </c>
      <c r="K101" s="115" t="s">
        <v>251</v>
      </c>
      <c r="L101" s="113" t="s">
        <v>3</v>
      </c>
      <c r="M101" s="114" t="s">
        <v>38</v>
      </c>
      <c r="N101" s="115" t="s">
        <v>251</v>
      </c>
      <c r="O101" s="113" t="s">
        <v>3</v>
      </c>
      <c r="P101" s="114" t="s">
        <v>38</v>
      </c>
      <c r="Q101" s="115" t="s">
        <v>251</v>
      </c>
      <c r="S101" s="329"/>
      <c r="T101" s="329"/>
    </row>
    <row r="102" spans="1:20">
      <c r="A102" s="231"/>
      <c r="B102" s="157">
        <f>COUNTIFS(Table36103[Age], "&lt;=10", Table36103[Service Accessed 3], "No")</f>
        <v>0</v>
      </c>
      <c r="C102" s="79" t="s">
        <v>362</v>
      </c>
      <c r="D102" s="79" t="s">
        <v>222</v>
      </c>
      <c r="E102" s="234"/>
      <c r="G102" s="325"/>
      <c r="H102" s="118" t="s">
        <v>363</v>
      </c>
      <c r="I102" s="119">
        <f>COUNTIFS(Table361037[Age], "&lt;=10", Table361037[Service Accessed 1], "Yes")</f>
        <v>0</v>
      </c>
      <c r="J102" s="120">
        <f>COUNTIFS(Table361037[Age], "&lt;=10", Table361037[Service Accessed 1], "No")</f>
        <v>0</v>
      </c>
      <c r="K102" s="121">
        <f>COUNTIFS(Table361037[Age], "&lt;=10", Table361037[Service Accessed 1], "Don't Know")</f>
        <v>0</v>
      </c>
      <c r="L102" s="119">
        <f>COUNTIFS(Table361037[Age], "&gt;=14", Table361037[Service Accessed 1], "Yes")</f>
        <v>0</v>
      </c>
      <c r="M102" s="120">
        <f>COUNTIFS(Table361037[Age], "&gt;10", Table361037[Age], "&lt;14", Table361037[Service Accessed 1], "No")</f>
        <v>0</v>
      </c>
      <c r="N102" s="121">
        <f>COUNTIFS(Table361037[Age], "&gt;10", Table361037[Age], "&lt;14", Table361037[Service Accessed 1], "Don't Know")</f>
        <v>0</v>
      </c>
      <c r="O102" s="119">
        <f>COUNTIFS(Table361037[Age], "&gt;=14", Table361037[Service Accessed 1], "Yes")</f>
        <v>0</v>
      </c>
      <c r="P102" s="120">
        <f>COUNTIFS(Table361037[Age], "&gt;=14", Table361037[Service Accessed 1], "No")</f>
        <v>0</v>
      </c>
      <c r="Q102" s="122">
        <f>COUNTIFS(Table361037[Age], "&gt;=14", Table361037[Service Accessed 1], "Don't Know")</f>
        <v>0</v>
      </c>
      <c r="S102" s="329"/>
      <c r="T102" s="329"/>
    </row>
    <row r="103" spans="1:20">
      <c r="A103" s="231"/>
      <c r="B103" s="157">
        <f>COUNTIFS(Table36103[Age], "&lt;=10", Table36103[Service Accessed 3], "Don't Know")</f>
        <v>0</v>
      </c>
      <c r="C103" s="78" t="s">
        <v>364</v>
      </c>
      <c r="D103" s="78" t="s">
        <v>222</v>
      </c>
      <c r="E103" s="234"/>
      <c r="G103" s="325"/>
      <c r="H103" s="123" t="s">
        <v>365</v>
      </c>
      <c r="I103" s="159">
        <f>COUNTIFS(Table361037[Age], "&lt;=10", Table361037[Service Accessed 2], "Yes")</f>
        <v>0</v>
      </c>
      <c r="J103" s="160">
        <f>COUNTIFS(Table361037[Age], "&lt;=10", Table361037[Service Accessed 2], "No")</f>
        <v>0</v>
      </c>
      <c r="K103" s="161">
        <f>COUNTIFS(Table361037[Age], "&lt;=10", Table361037[Service Accessed 2], "Don't Know")</f>
        <v>0</v>
      </c>
      <c r="L103" s="159">
        <f>COUNTIFS(Table361037[Age], "&gt;10", Table361037[Age], "&lt;14", Table361037[Service Accessed 2], "Yes")</f>
        <v>0</v>
      </c>
      <c r="M103" s="160">
        <f>COUNTIFS(Table361037[Age], "&gt;10", Table361037[Age], "&lt;14", Table361037[Service Accessed 2], "No")</f>
        <v>0</v>
      </c>
      <c r="N103" s="161">
        <f>COUNTIFS(Table361037[Age], "&gt;10", Table361037[Age], "&lt;14", Table361037[Service Accessed 2], "Don't Know")</f>
        <v>0</v>
      </c>
      <c r="O103" s="159">
        <f>COUNTIFS(Table361037[Age], "&gt;=14", Table361037[Service Accessed 2], "Yes")</f>
        <v>0</v>
      </c>
      <c r="P103" s="160">
        <f>COUNTIFS(Table361037[Age], "&gt;=14", Table361037[Service Accessed 2], "No")</f>
        <v>0</v>
      </c>
      <c r="Q103" s="162">
        <f>COUNTIFS(Table361037[Age], "&gt;=14", Table361037[Service Accessed 2], "Don't Know")</f>
        <v>0</v>
      </c>
      <c r="S103" s="329"/>
      <c r="T103" s="329"/>
    </row>
    <row r="104" spans="1:20">
      <c r="A104" s="231"/>
      <c r="B104" s="157">
        <f>COUNTIFS(Table36103[Age], "&lt;=10", Table36103[Service Accessed 4], "Yes")</f>
        <v>0</v>
      </c>
      <c r="C104" s="79" t="s">
        <v>366</v>
      </c>
      <c r="D104" s="79" t="s">
        <v>222</v>
      </c>
      <c r="E104" s="234"/>
      <c r="G104" s="325"/>
      <c r="H104" s="123" t="s">
        <v>367</v>
      </c>
      <c r="I104" s="127">
        <f>COUNTIFS(Table361037[Age], "&lt;=10", Table361037[Service Accessed 3], "Yes")</f>
        <v>0</v>
      </c>
      <c r="J104" s="128">
        <f>COUNTIFS(Table361037[Age], "&lt;=10", Table361037[Service Accessed 3], "No")</f>
        <v>0</v>
      </c>
      <c r="K104" s="129">
        <f>COUNTIFS(Table361037[Age], "&lt;=10", Table361037[Service Accessed 3], "Don't Know")</f>
        <v>0</v>
      </c>
      <c r="L104" s="127">
        <f>COUNTIFS(Table361037[Age], "&gt;10", Table361037[Age], "&lt;14", Table361037[Service Accessed 3], "Yes")</f>
        <v>0</v>
      </c>
      <c r="M104" s="128">
        <f>COUNTIFS(Table361037[Age], "&gt;10", Table361037[Age], "&lt;14", Table361037[Service Accessed 3], "No")</f>
        <v>0</v>
      </c>
      <c r="N104" s="129">
        <f>COUNTIFS(Table361037[Age], "&gt;10", Table361037[Age], "&lt;14", Table361037[Service Accessed 3], "Don't Know")</f>
        <v>0</v>
      </c>
      <c r="O104" s="127">
        <f>COUNTIFS(Table361037[Age], "&gt;=14", Table361037[Service Accessed 3], "Yes")</f>
        <v>0</v>
      </c>
      <c r="P104" s="128">
        <f>COUNTIFS(Table361037[Age], "&gt;=14", Table361037[Service Accessed 3], "No")</f>
        <v>0</v>
      </c>
      <c r="Q104" s="100">
        <f>COUNTIFS(Table361037[Age], "&gt;=14", Table361037[Service Accessed 3], "Don't Know")</f>
        <v>0</v>
      </c>
      <c r="S104" s="329"/>
      <c r="T104" s="329"/>
    </row>
    <row r="105" spans="1:20">
      <c r="A105" s="231"/>
      <c r="B105" s="157">
        <f>COUNTIFS(Table36103[Age], "&lt;=10", Table36103[Service Accessed 4], "No")</f>
        <v>0</v>
      </c>
      <c r="C105" s="78" t="s">
        <v>368</v>
      </c>
      <c r="D105" s="78" t="s">
        <v>222</v>
      </c>
      <c r="E105" s="234"/>
      <c r="G105" s="325"/>
      <c r="H105" s="123" t="s">
        <v>369</v>
      </c>
      <c r="I105" s="159">
        <f>COUNTIFS(Table361037[Age], "&lt;=10", Table361037[Service Accessed 4], "Yes")</f>
        <v>0</v>
      </c>
      <c r="J105" s="160">
        <f>COUNTIFS(Table361037[Age], "&lt;=10", Table361037[Service Accessed 4], "No")</f>
        <v>0</v>
      </c>
      <c r="K105" s="161">
        <f>COUNTIFS(Table361037[Age], "&lt;=10", Table361037[Service Accessed 4], "Don't Know")</f>
        <v>0</v>
      </c>
      <c r="L105" s="159">
        <f>COUNTIFS(Table361037[Age], "&gt;10", Table361037[Age], "&lt;14", Table361037[Service Accessed 4], "Yes")</f>
        <v>0</v>
      </c>
      <c r="M105" s="160">
        <f>COUNTIFS(Table361037[Age], "&gt;10", Table361037[Age], "&lt;14", Table361037[Service Accessed 4], "No")</f>
        <v>0</v>
      </c>
      <c r="N105" s="161">
        <f>COUNTIFS(Table361037[Age], "&gt;10", Table361037[Age], "&lt;14", Table361037[Service Accessed 4], "Don't Know")</f>
        <v>0</v>
      </c>
      <c r="O105" s="159">
        <f>COUNTIFS(Table361037[Age], "&gt;=14", Table361037[Service Accessed 4], "Yes")</f>
        <v>0</v>
      </c>
      <c r="P105" s="160">
        <f>COUNTIFS(Table361037[Age], "&gt;=14", Table361037[Service Accessed 4], "No")</f>
        <v>0</v>
      </c>
      <c r="Q105" s="162">
        <f>COUNTIFS(Table361037[Age], "&gt;=14", Table361037[Service Accessed 4], "Don't Know")</f>
        <v>0</v>
      </c>
      <c r="S105" s="329"/>
      <c r="T105" s="329"/>
    </row>
    <row r="106" spans="1:20" ht="37.5">
      <c r="A106" s="231"/>
      <c r="B106" s="157">
        <f>COUNTIFS(Table36103[Age], "&lt;=10", Table36103[Service Accessed 4], "Don't Know")</f>
        <v>0</v>
      </c>
      <c r="C106" s="79" t="s">
        <v>370</v>
      </c>
      <c r="D106" s="79" t="s">
        <v>222</v>
      </c>
      <c r="E106" s="234"/>
      <c r="G106" s="325"/>
      <c r="H106" s="123" t="s">
        <v>371</v>
      </c>
      <c r="I106" s="127">
        <f>COUNTIFS(Table361037[Age], "&lt;=10", Table361037[Service Accessed 5], "Yes")</f>
        <v>0</v>
      </c>
      <c r="J106" s="128">
        <f>COUNTIFS(Table361037[Age], "&lt;=10", Table361037[Service Accessed 5], "No")</f>
        <v>0</v>
      </c>
      <c r="K106" s="129">
        <f>COUNTIFS(Table361037[Age], "&lt;=10", Table361037[Service Accessed 5], "Don't Know")</f>
        <v>0</v>
      </c>
      <c r="L106" s="127">
        <f>COUNTIFS(Table361037[Age], "&gt;10", Table361037[Age], "&lt;14", Table361037[Service Accessed 5], "Yes")</f>
        <v>0</v>
      </c>
      <c r="M106" s="128">
        <f>COUNTIFS(Table361037[Age], "&gt;10", Table361037[Age], "&lt;14", Table361037[Service Accessed 5], "No")</f>
        <v>0</v>
      </c>
      <c r="N106" s="129">
        <f>COUNTIFS(Table361037[Age], "&gt;10", Table361037[Age], "&lt;14", Table361037[Service Accessed 5], "Don't Know")</f>
        <v>0</v>
      </c>
      <c r="O106" s="127">
        <f>COUNTIFS(Table361037[Age], "&gt;=14", Table361037[Service Accessed 5], "Yes")</f>
        <v>0</v>
      </c>
      <c r="P106" s="128">
        <f>COUNTIFS(Table361037[Age], "&gt;=14", Table361037[Service Accessed 5], "No")</f>
        <v>0</v>
      </c>
      <c r="Q106" s="100">
        <f>COUNTIFS(Table361037[Age], "&gt;=14", Table361037[Service Accessed 5], "Don't Know")</f>
        <v>0</v>
      </c>
      <c r="S106" s="329"/>
      <c r="T106" s="329"/>
    </row>
    <row r="107" spans="1:20" ht="24" thickBot="1">
      <c r="A107" s="231"/>
      <c r="B107" s="157">
        <f>COUNTIFS(Table36103[Age], "&lt;=10", Table36103[Service Accessed 5], "Yes")</f>
        <v>0</v>
      </c>
      <c r="C107" s="78" t="s">
        <v>372</v>
      </c>
      <c r="D107" s="78" t="s">
        <v>222</v>
      </c>
      <c r="E107" s="234"/>
      <c r="G107" s="326"/>
      <c r="H107" s="131" t="s">
        <v>373</v>
      </c>
      <c r="I107" s="163">
        <f>COUNTIFS(Table361037[Age], "&lt;=10", Table361037[Service Accessed 6], "Yes")</f>
        <v>0</v>
      </c>
      <c r="J107" s="164">
        <f>COUNTIFS(Table361037[Age], "&lt;=10", Table361037[Service Accessed 6], "No")</f>
        <v>0</v>
      </c>
      <c r="K107" s="165">
        <f>COUNTIFS(Table361037[Age], "&lt;=10", Table361037[Service Accessed 6], "Don't Know")</f>
        <v>0</v>
      </c>
      <c r="L107" s="163">
        <f>COUNTIFS(Table361037[Age], "&gt;10", Table361037[Age], "&lt;14", Table361037[Service Accessed 6], "Yes")</f>
        <v>0</v>
      </c>
      <c r="M107" s="164">
        <f>COUNTIFS(Table361037[Age], "&gt;10", Table361037[Age], "&lt;14", Table361037[Service Accessed 6], "No")</f>
        <v>0</v>
      </c>
      <c r="N107" s="165">
        <f>COUNTIFS(Table361037[Age], "&gt;10", Table361037[Age], "&lt;14", Table361037[Service Accessed 6], "Don't Know")</f>
        <v>0</v>
      </c>
      <c r="O107" s="163">
        <f>COUNTIFS(Table361037[Age], "&gt;=14", Table361037[Service Accessed 6], "Yes")</f>
        <v>0</v>
      </c>
      <c r="P107" s="164">
        <f>COUNTIFS(Table361037[Age], "&gt;=14", Table361037[Service Accessed 6], "No")</f>
        <v>0</v>
      </c>
      <c r="Q107" s="166">
        <f>COUNTIFS(Table361037[Age], "&gt;=14", Table361037[Service Accessed 6], "Don't Know")</f>
        <v>0</v>
      </c>
      <c r="S107" s="329"/>
      <c r="T107" s="329"/>
    </row>
    <row r="108" spans="1:20">
      <c r="A108" s="231"/>
      <c r="B108" s="157">
        <f>COUNTIFS(Table36103[Age], "&lt;=10", Table36103[Service Accessed 5], "No")</f>
        <v>0</v>
      </c>
      <c r="C108" s="79" t="s">
        <v>374</v>
      </c>
      <c r="D108" s="79" t="s">
        <v>222</v>
      </c>
      <c r="E108" s="234"/>
    </row>
    <row r="109" spans="1:20" ht="24" thickBot="1">
      <c r="A109" s="231"/>
      <c r="B109" s="157">
        <f>COUNTIFS(Table36103[Age], "&lt;=10", Table36103[Service Accessed 5], "Don't Know")</f>
        <v>0</v>
      </c>
      <c r="C109" s="78" t="s">
        <v>375</v>
      </c>
      <c r="D109" s="78" t="s">
        <v>222</v>
      </c>
      <c r="E109" s="234"/>
    </row>
    <row r="110" spans="1:20" ht="23.25" customHeight="1" thickBot="1">
      <c r="A110" s="231"/>
      <c r="B110" s="157">
        <f>COUNTIFS(Table36103[Age], "&lt;=10", Table36103[Service Accessed 6], "Yes")</f>
        <v>0</v>
      </c>
      <c r="C110" s="79" t="s">
        <v>376</v>
      </c>
      <c r="D110" s="79" t="s">
        <v>222</v>
      </c>
      <c r="E110" s="234"/>
      <c r="H110" s="321" t="s">
        <v>377</v>
      </c>
      <c r="I110" s="322"/>
      <c r="J110" s="322"/>
      <c r="K110" s="322"/>
      <c r="L110" s="322"/>
      <c r="M110" s="322"/>
      <c r="N110" s="322"/>
      <c r="O110" s="322"/>
      <c r="P110" s="322"/>
      <c r="Q110" s="323"/>
    </row>
    <row r="111" spans="1:20">
      <c r="A111" s="231"/>
      <c r="B111" s="157">
        <f>COUNTIFS(Table36103[Age], "&lt;=10", Table36103[Service Accessed 6], "No")</f>
        <v>0</v>
      </c>
      <c r="C111" s="78" t="s">
        <v>378</v>
      </c>
      <c r="D111" s="78" t="s">
        <v>222</v>
      </c>
      <c r="E111" s="234"/>
      <c r="G111" s="324" t="s">
        <v>358</v>
      </c>
      <c r="H111" s="327" t="s">
        <v>379</v>
      </c>
      <c r="I111" s="266" t="s">
        <v>209</v>
      </c>
      <c r="J111" s="267"/>
      <c r="K111" s="268"/>
      <c r="L111" s="266" t="s">
        <v>210</v>
      </c>
      <c r="M111" s="267"/>
      <c r="N111" s="268"/>
      <c r="O111" s="266" t="s">
        <v>211</v>
      </c>
      <c r="P111" s="267"/>
      <c r="Q111" s="268"/>
    </row>
    <row r="112" spans="1:20">
      <c r="A112" s="231"/>
      <c r="B112" s="157">
        <f>COUNTIFS(Table36103[Age], "&lt;=10", Table36103[Service Accessed 6], "Don't Know")</f>
        <v>0</v>
      </c>
      <c r="C112" s="79" t="s">
        <v>380</v>
      </c>
      <c r="D112" s="79" t="s">
        <v>222</v>
      </c>
      <c r="E112" s="234"/>
      <c r="G112" s="325"/>
      <c r="H112" s="319"/>
      <c r="I112" s="296" t="s">
        <v>249</v>
      </c>
      <c r="J112" s="297"/>
      <c r="K112" s="298"/>
      <c r="L112" s="296" t="s">
        <v>249</v>
      </c>
      <c r="M112" s="297"/>
      <c r="N112" s="298"/>
      <c r="O112" s="296" t="s">
        <v>249</v>
      </c>
      <c r="P112" s="297"/>
      <c r="Q112" s="298"/>
    </row>
    <row r="113" spans="1:17" ht="24" thickBot="1">
      <c r="A113" s="231"/>
      <c r="B113" s="157">
        <f>COUNTIFS(Table36103[Age], "&lt;=10", Table36103[Service Accessed 7], "Yes")</f>
        <v>0</v>
      </c>
      <c r="C113" s="78" t="s">
        <v>381</v>
      </c>
      <c r="D113" s="78" t="s">
        <v>222</v>
      </c>
      <c r="E113" s="234"/>
      <c r="G113" s="325"/>
      <c r="H113" s="328"/>
      <c r="I113" s="113" t="s">
        <v>3</v>
      </c>
      <c r="J113" s="114" t="s">
        <v>38</v>
      </c>
      <c r="K113" s="115" t="s">
        <v>251</v>
      </c>
      <c r="L113" s="113" t="s">
        <v>3</v>
      </c>
      <c r="M113" s="114" t="s">
        <v>38</v>
      </c>
      <c r="N113" s="115" t="s">
        <v>251</v>
      </c>
      <c r="O113" s="113" t="s">
        <v>3</v>
      </c>
      <c r="P113" s="114" t="s">
        <v>38</v>
      </c>
      <c r="Q113" s="115" t="s">
        <v>251</v>
      </c>
    </row>
    <row r="114" spans="1:17">
      <c r="A114" s="231"/>
      <c r="B114" s="157">
        <f>COUNTIFS(Table36103[Age], "&lt;=10", Table36103[Service Accessed 7], "No")</f>
        <v>0</v>
      </c>
      <c r="C114" s="79" t="s">
        <v>382</v>
      </c>
      <c r="D114" s="79" t="s">
        <v>222</v>
      </c>
      <c r="E114" s="234"/>
      <c r="G114" s="325"/>
      <c r="H114" s="118" t="s">
        <v>383</v>
      </c>
      <c r="I114" s="119">
        <f>COUNTIFS(Table3610345[Age], "&lt;=10", Table3610345[Service Accessed 1], "Yes")</f>
        <v>0</v>
      </c>
      <c r="J114" s="120">
        <f>COUNTIFS(Table3610345[Age], "&lt;=10", Table3610345[Service Accessed 1], "No")</f>
        <v>0</v>
      </c>
      <c r="K114" s="121">
        <f>COUNTIFS(Table3610345[Age], "&lt;=10", Table3610345[Service Accessed 1], "Don't Know")</f>
        <v>0</v>
      </c>
      <c r="L114" s="119">
        <f>COUNTIFS(Table3610345[Age], "&gt;=14", Table3610345[Service Accessed 1], "Yes")</f>
        <v>0</v>
      </c>
      <c r="M114" s="120">
        <f>COUNTIFS(Table3610345[Age], "&gt;10", Table3610345[Age], "&lt;14", Table3610345[Service Accessed 1], "No")</f>
        <v>0</v>
      </c>
      <c r="N114" s="121">
        <f>COUNTIFS(Table3610345[Age], "&gt;10", Table3610345[Age], "&lt;14", Table3610345[Service Accessed 1], "Don't Know")</f>
        <v>0</v>
      </c>
      <c r="O114" s="119">
        <f>COUNTIFS(Table3610345[Age], "&gt;=14", Table3610345[Service Accessed 1], "Yes")</f>
        <v>0</v>
      </c>
      <c r="P114" s="120">
        <f>COUNTIFS(Table3610345[Age], "&gt;=14", Table3610345[Service Accessed 1], "No")</f>
        <v>0</v>
      </c>
      <c r="Q114" s="122">
        <f>COUNTIFS(Table3610345[Age], "&gt;=14", Table3610345[Service Accessed 1], "Don't Know")</f>
        <v>0</v>
      </c>
    </row>
    <row r="115" spans="1:17" ht="37.5">
      <c r="A115" s="231"/>
      <c r="B115" s="157">
        <f>COUNTIFS(Table36103[Age], "&lt;=10", Table36103[Service Accessed 7], "Don't Know")</f>
        <v>0</v>
      </c>
      <c r="C115" s="78" t="s">
        <v>384</v>
      </c>
      <c r="D115" s="78" t="s">
        <v>222</v>
      </c>
      <c r="E115" s="234"/>
      <c r="G115" s="325"/>
      <c r="H115" s="123" t="s">
        <v>385</v>
      </c>
      <c r="I115" s="124">
        <f>COUNTIFS(Table3610345[Age], "&lt;=10", Table3610345[Service Accessed 2], "Yes")</f>
        <v>0</v>
      </c>
      <c r="J115" s="125">
        <f>COUNTIFS(Table3610345[Age], "&lt;=10", Table3610345[Service Accessed 2], "No")</f>
        <v>0</v>
      </c>
      <c r="K115" s="126">
        <f>COUNTIFS(Table3610345[Age], "&lt;=10", Table3610345[Service Accessed 2], "Don't Know")</f>
        <v>0</v>
      </c>
      <c r="L115" s="124">
        <f>COUNTIFS(Table3610345[Age], "&gt;10", Table3610345[Age], "&lt;14", Table3610345[Service Accessed 2], "Yes")</f>
        <v>0</v>
      </c>
      <c r="M115" s="125">
        <f>COUNTIFS(Table3610345[Age], "&gt;10", Table3610345[Age], "&lt;14", Table3610345[Service Accessed 2], "No")</f>
        <v>0</v>
      </c>
      <c r="N115" s="126">
        <f>COUNTIFS(Table3610345[Age], "&gt;10", Table3610345[Age], "&lt;14", Table3610345[Service Accessed 2], "Don't Know")</f>
        <v>0</v>
      </c>
      <c r="O115" s="124">
        <f>COUNTIFS(Table3610345[Age], "&gt;=14", Table3610345[Service Accessed 2], "Yes")</f>
        <v>0</v>
      </c>
      <c r="P115" s="125">
        <f>COUNTIFS(Table3610345[Age], "&gt;=14", Table3610345[Service Accessed 2], "No")</f>
        <v>0</v>
      </c>
      <c r="Q115" s="109">
        <f>COUNTIFS(Table3610345[Age], "&gt;=14", Table3610345[Service Accessed 2], "Don't Know")</f>
        <v>0</v>
      </c>
    </row>
    <row r="116" spans="1:17" ht="37.5">
      <c r="A116" s="231"/>
      <c r="B116" s="157">
        <f>COUNTIFS(Table36103[Age], "&lt;=10", Table36103[Service Accessed 8], "Yes")</f>
        <v>0</v>
      </c>
      <c r="C116" s="79" t="s">
        <v>386</v>
      </c>
      <c r="D116" s="79" t="s">
        <v>222</v>
      </c>
      <c r="E116" s="234"/>
      <c r="G116" s="325"/>
      <c r="H116" s="123" t="s">
        <v>387</v>
      </c>
      <c r="I116" s="127">
        <f>COUNTIFS(Table3610345[Age], "&lt;=10", Table3610345[Service Accessed 3], "Yes")</f>
        <v>0</v>
      </c>
      <c r="J116" s="128">
        <f>COUNTIFS(Table3610345[Age], "&lt;=10", Table3610345[Service Accessed 3], "No")</f>
        <v>0</v>
      </c>
      <c r="K116" s="129">
        <f>COUNTIFS(Table3610345[Age], "&lt;=10", Table3610345[Service Accessed 3], "Don't Know")</f>
        <v>0</v>
      </c>
      <c r="L116" s="127">
        <f>COUNTIFS(Table3610345[Age], "&gt;10", Table3610345[Age], "&lt;14", Table3610345[Service Accessed 3], "Yes")</f>
        <v>0</v>
      </c>
      <c r="M116" s="128">
        <f>COUNTIFS(Table3610345[Age], "&gt;10", Table3610345[Age], "&lt;14", Table3610345[Service Accessed 3], "No")</f>
        <v>0</v>
      </c>
      <c r="N116" s="129">
        <f>COUNTIFS(Table3610345[Age], "&gt;10", Table3610345[Age], "&lt;14", Table3610345[Service Accessed 3], "Don't Know")</f>
        <v>0</v>
      </c>
      <c r="O116" s="127">
        <f>COUNTIFS(Table3610345[Age], "&gt;=14", Table3610345[Service Accessed 3], "Yes")</f>
        <v>0</v>
      </c>
      <c r="P116" s="128">
        <f>COUNTIFS(Table3610345[Age], "&gt;=14", Table3610345[Service Accessed 3], "No")</f>
        <v>0</v>
      </c>
      <c r="Q116" s="100">
        <f>COUNTIFS(Table3610345[Age], "&gt;=14", Table3610345[Service Accessed 3], "Don't Know")</f>
        <v>0</v>
      </c>
    </row>
    <row r="117" spans="1:17" ht="37.5">
      <c r="A117" s="231"/>
      <c r="B117" s="157">
        <f>COUNTIFS(Table36103[Age], "&lt;=10", Table36103[Service Accessed 8], "No")</f>
        <v>0</v>
      </c>
      <c r="C117" s="78" t="s">
        <v>388</v>
      </c>
      <c r="D117" s="78" t="s">
        <v>222</v>
      </c>
      <c r="E117" s="234"/>
      <c r="G117" s="325"/>
      <c r="H117" s="123" t="s">
        <v>389</v>
      </c>
      <c r="I117" s="124">
        <f>COUNTIFS(Table3610345[Age], "&lt;=10", Table3610345[Service Accessed 4], "Yes")</f>
        <v>0</v>
      </c>
      <c r="J117" s="125">
        <f>COUNTIFS(Table3610345[Age], "&lt;=10", Table3610345[Service Accessed 4], "No")</f>
        <v>0</v>
      </c>
      <c r="K117" s="126">
        <f>COUNTIFS(Table3610345[Age], "&lt;=10", Table3610345[Service Accessed 4], "Don't Know")</f>
        <v>0</v>
      </c>
      <c r="L117" s="124">
        <f>COUNTIFS(Table3610345[Age], "&gt;10", Table3610345[Age], "&lt;14", Table3610345[Service Accessed 4], "Yes")</f>
        <v>0</v>
      </c>
      <c r="M117" s="125">
        <f>COUNTIFS(Table3610345[Age], "&gt;10", Table3610345[Age], "&lt;14", Table3610345[Service Accessed 4], "No")</f>
        <v>0</v>
      </c>
      <c r="N117" s="126">
        <f>COUNTIFS(Table3610345[Age], "&gt;10", Table3610345[Age], "&lt;14", Table3610345[Service Accessed 4], "Don't Know")</f>
        <v>0</v>
      </c>
      <c r="O117" s="124">
        <f>COUNTIFS(Table3610345[Age], "&gt;=14", Table3610345[Service Accessed 4], "Yes")</f>
        <v>0</v>
      </c>
      <c r="P117" s="125">
        <f>COUNTIFS(Table3610345[Age], "&gt;=14", Table3610345[Service Accessed 4], "No")</f>
        <v>0</v>
      </c>
      <c r="Q117" s="109">
        <f>COUNTIFS(Table3610345[Age], "&gt;=14", Table3610345[Service Accessed 4], "Don't Know")</f>
        <v>0</v>
      </c>
    </row>
    <row r="118" spans="1:17" ht="37.5">
      <c r="A118" s="231"/>
      <c r="B118" s="157">
        <f>COUNTIFS(Table36103[Age], "&lt;=10", Table36103[Service Accessed 8], "Don't Know")</f>
        <v>0</v>
      </c>
      <c r="C118" s="79" t="s">
        <v>390</v>
      </c>
      <c r="D118" s="79" t="s">
        <v>222</v>
      </c>
      <c r="E118" s="234"/>
      <c r="G118" s="325"/>
      <c r="H118" s="123" t="s">
        <v>391</v>
      </c>
      <c r="I118" s="127">
        <f>COUNTIFS(Table3610345[Age], "&lt;=10", Table3610345[Service Accessed 5], "Yes")</f>
        <v>0</v>
      </c>
      <c r="J118" s="128">
        <f>COUNTIFS(Table3610345[Age], "&lt;=10", Table3610345[Service Accessed 5], "No")</f>
        <v>0</v>
      </c>
      <c r="K118" s="129">
        <f>COUNTIFS(Table3610345[Age], "&lt;=10", Table3610345[Service Accessed 5], "Don't Know")</f>
        <v>0</v>
      </c>
      <c r="L118" s="127">
        <f>COUNTIFS(Table3610345[Age], "&gt;10", Table3610345[Age], "&lt;14", Table3610345[Service Accessed 5], "Yes")</f>
        <v>0</v>
      </c>
      <c r="M118" s="128">
        <f>COUNTIFS(Table3610345[Age], "&gt;10", Table3610345[Age], "&lt;14", Table3610345[Service Accessed 5], "No")</f>
        <v>0</v>
      </c>
      <c r="N118" s="129">
        <f>COUNTIFS(Table3610345[Age], "&gt;10", Table3610345[Age], "&lt;14", Table3610345[Service Accessed 5], "Don't Know")</f>
        <v>0</v>
      </c>
      <c r="O118" s="127">
        <f>COUNTIFS(Table3610345[Age], "&gt;=14", Table3610345[Service Accessed 5], "Yes")</f>
        <v>0</v>
      </c>
      <c r="P118" s="128">
        <f>COUNTIFS(Table3610345[Age], "&gt;=14", Table3610345[Service Accessed 5], "No")</f>
        <v>0</v>
      </c>
      <c r="Q118" s="100">
        <f>COUNTIFS(Table3610345[Age], "&gt;=14", Table3610345[Service Accessed 5], "Don't Know")</f>
        <v>0</v>
      </c>
    </row>
    <row r="119" spans="1:17" ht="37.5">
      <c r="A119" s="231"/>
      <c r="B119" s="157">
        <f>COUNTIFS(Table36103[Age], "&lt;=10", Table36103[Service Accessed 9], "Yes")</f>
        <v>0</v>
      </c>
      <c r="C119" s="78" t="s">
        <v>392</v>
      </c>
      <c r="D119" s="78" t="s">
        <v>222</v>
      </c>
      <c r="E119" s="234"/>
      <c r="G119" s="325"/>
      <c r="H119" s="123" t="s">
        <v>393</v>
      </c>
      <c r="I119" s="124">
        <f>COUNTIFS(Table3610345[Age], "&lt;=10", Table3610345[Service Accessed 6], "Yes")</f>
        <v>0</v>
      </c>
      <c r="J119" s="125">
        <f>COUNTIFS(Table3610345[Age], "&lt;=10", Table3610345[Service Accessed 6], "No")</f>
        <v>0</v>
      </c>
      <c r="K119" s="126">
        <f>COUNTIFS(Table3610345[Age], "&lt;=10", Table3610345[Service Accessed 6], "Don't Know")</f>
        <v>0</v>
      </c>
      <c r="L119" s="124">
        <f>COUNTIFS(Table3610345[Age], "&gt;10", Table3610345[Age], "&lt;14", Table3610345[Service Accessed 6], "Yes")</f>
        <v>0</v>
      </c>
      <c r="M119" s="125">
        <f>COUNTIFS(Table3610345[Age], "&gt;10", Table3610345[Age], "&lt;14", Table3610345[Service Accessed 6], "No")</f>
        <v>0</v>
      </c>
      <c r="N119" s="126">
        <f>COUNTIFS(Table3610345[Age], "&gt;10", Table3610345[Age], "&lt;14", Table3610345[Service Accessed 6], "Don't Know")</f>
        <v>0</v>
      </c>
      <c r="O119" s="124">
        <f>COUNTIFS(Table3610345[Age], "&gt;=14", Table3610345[Service Accessed 6], "Yes")</f>
        <v>0</v>
      </c>
      <c r="P119" s="125">
        <f>COUNTIFS(Table3610345[Age], "&gt;=14", Table3610345[Service Accessed 6], "No")</f>
        <v>0</v>
      </c>
      <c r="Q119" s="109">
        <f>COUNTIFS(Table3610345[Age], "&gt;=14", Table3610345[Service Accessed 6], "Don't Know")</f>
        <v>0</v>
      </c>
    </row>
    <row r="120" spans="1:17" ht="24" thickBot="1">
      <c r="A120" s="231"/>
      <c r="B120" s="157">
        <f>COUNTIFS(Table36103[Age], "&lt;=10", Table36103[Service Accessed 9], "No")</f>
        <v>0</v>
      </c>
      <c r="C120" s="79" t="s">
        <v>394</v>
      </c>
      <c r="D120" s="79" t="s">
        <v>222</v>
      </c>
      <c r="E120" s="234"/>
      <c r="G120" s="326"/>
      <c r="H120" s="131" t="s">
        <v>395</v>
      </c>
      <c r="I120" s="132">
        <f>COUNTIFS(Table3610345[Age], "&lt;=10", Table3610345[Service Accessed 7], "Yes")</f>
        <v>0</v>
      </c>
      <c r="J120" s="133">
        <f>COUNTIFS(Table3610345[Age], "&lt;=10", Table3610345[Service Accessed 7], "No")</f>
        <v>0</v>
      </c>
      <c r="K120" s="134">
        <f>COUNTIFS(Table3610345[Age], "&lt;=10", Table3610345[Service Accessed 7], "Don't Know")</f>
        <v>0</v>
      </c>
      <c r="L120" s="132">
        <f>COUNTIFS(Table3610345[Age], "&gt;10", Table3610345[Age], "&lt;14", Table3610345[Service Accessed 7], "Yes")</f>
        <v>0</v>
      </c>
      <c r="M120" s="133">
        <f>COUNTIFS(Table3610345[Age], "&gt;10", Table3610345[Age], "&lt;14", Table3610345[Service Accessed 7], "No")</f>
        <v>0</v>
      </c>
      <c r="N120" s="134">
        <f>COUNTIFS(Table3610345[Age], "&gt;10", Table3610345[Age], "&lt;14", Table3610345[Service Accessed 7], "Don't Know")</f>
        <v>0</v>
      </c>
      <c r="O120" s="132">
        <f>COUNTIFS(Table3610345[Age], "&gt;=14", Table3610345[Service Accessed 7], "Yes")</f>
        <v>0</v>
      </c>
      <c r="P120" s="133">
        <f>COUNTIFS(Table3610345[Age], "&gt;=14", Table3610345[Service Accessed 7], "No")</f>
        <v>0</v>
      </c>
      <c r="Q120" s="104">
        <f>COUNTIFS(Table3610345[Age], "&gt;=14", Table3610345[Service Accessed 7], "Don't Know")</f>
        <v>0</v>
      </c>
    </row>
    <row r="121" spans="1:17" ht="24" thickBot="1">
      <c r="A121" s="231"/>
      <c r="B121" s="157">
        <f>COUNTIFS(Table36103[Age], "&lt;=10", Table36103[Service Accessed 9], "Don't Know")</f>
        <v>0</v>
      </c>
      <c r="C121" s="78" t="s">
        <v>396</v>
      </c>
      <c r="D121" s="78" t="s">
        <v>222</v>
      </c>
      <c r="E121" s="235"/>
    </row>
    <row r="122" spans="1:17" ht="24" thickBot="1">
      <c r="A122" s="231"/>
      <c r="B122" s="157">
        <f>COUNTIFS(Table36103[Age], "&gt;10", Table36103[Age], "&lt;14", Table36103[Service Accessed 1], "Yes")</f>
        <v>0</v>
      </c>
      <c r="C122" s="79" t="s">
        <v>397</v>
      </c>
      <c r="D122" s="79" t="s">
        <v>222</v>
      </c>
      <c r="E122" s="233" t="s">
        <v>398</v>
      </c>
    </row>
    <row r="123" spans="1:17" ht="23.25" customHeight="1" thickBot="1">
      <c r="A123" s="231"/>
      <c r="B123" s="157">
        <f>COUNTIFS(Table36103[Age], "&gt;10", Table36103[Age], "&lt;14", Table36103[Service Accessed 1], "No")</f>
        <v>0</v>
      </c>
      <c r="C123" s="78" t="s">
        <v>399</v>
      </c>
      <c r="D123" s="78" t="s">
        <v>222</v>
      </c>
      <c r="E123" s="234"/>
      <c r="H123" s="336" t="s">
        <v>400</v>
      </c>
      <c r="I123" s="337"/>
      <c r="J123" s="337"/>
      <c r="K123" s="338"/>
    </row>
    <row r="124" spans="1:17" ht="75.75" thickBot="1">
      <c r="A124" s="231"/>
      <c r="B124" s="157">
        <f>COUNTIFS(Table36103[Age], "&gt;10", Table36103[Age], "&lt;14", Table36103[Service Accessed 1], "Don't Know")</f>
        <v>0</v>
      </c>
      <c r="C124" s="79" t="s">
        <v>401</v>
      </c>
      <c r="D124" s="79" t="s">
        <v>222</v>
      </c>
      <c r="E124" s="234"/>
      <c r="G124" s="339" t="s">
        <v>402</v>
      </c>
      <c r="H124" s="147" t="s">
        <v>276</v>
      </c>
      <c r="I124" s="167" t="s">
        <v>403</v>
      </c>
      <c r="J124" s="146" t="s">
        <v>404</v>
      </c>
      <c r="K124" s="167" t="s">
        <v>405</v>
      </c>
    </row>
    <row r="125" spans="1:17" ht="37.5">
      <c r="A125" s="231"/>
      <c r="B125" s="157">
        <f>COUNTIFS(Table36103[Age], "&gt;10", Table36103[Age], "&lt;14", Table36103[Service Accessed 2], "Yes")</f>
        <v>0</v>
      </c>
      <c r="C125" s="78" t="s">
        <v>406</v>
      </c>
      <c r="D125" s="78" t="s">
        <v>222</v>
      </c>
      <c r="E125" s="234"/>
      <c r="G125" s="340"/>
      <c r="H125" s="118" t="s">
        <v>279</v>
      </c>
      <c r="I125" s="168">
        <f>SUM('Non-Treatment Supports General'!$E:$E, 'Non-Treatment Supports General'!$N:$N, 'Non-Treatment Supports General'!$W:$W, 'Non-Treatment Supports General'!$AF:$AF, 'Non-Treatment Supports General'!$AO:$AO, 'Non-Treatment Supports General'!$AX:$AX, 'Non-Treatment Supports General'!$BG:$BG, 'Non-Treatment Supports General'!$BP:$BP, 'Non-Treatment Supports General'!$BZ:$BZ)</f>
        <v>0</v>
      </c>
      <c r="J125" s="169">
        <f>SUM('Drug &amp; Alcohol'!$E:$E, 'Drug &amp; Alcohol'!$N:$N, 'Drug &amp; Alcohol'!$W:$W, 'Drug &amp; Alcohol'!$AF:$AF, 'Drug &amp; Alcohol'!$AO:$AO, 'Drug &amp; Alcohol'!$AX:$AX, 'Drug &amp; Alcohol'!$BG:$BG, 'Drug &amp; Alcohol'!$BP:$BP, 'Drug &amp; Alcohol'!$BZ:$BZ)</f>
        <v>0</v>
      </c>
      <c r="K125" s="170">
        <f>SUM('Mental Health Treatment'!$E:$E, 'Mental Health Treatment'!$N:$N, 'Mental Health Treatment'!$W:$W, 'Mental Health Treatment'!$AF:$AF, 'Mental Health Treatment'!$AO:$AO, 'Mental Health Treatment'!$AX:$AX, 'Mental Health Treatment'!$BG:$BG, 'Mental Health Treatment'!$BP:$BP, 'Mental Health Treatment'!$BZ:$BZ)</f>
        <v>0</v>
      </c>
    </row>
    <row r="126" spans="1:17">
      <c r="A126" s="231"/>
      <c r="B126" s="157">
        <f>COUNTIFS(Table36103[Age], "&gt;10", Table36103[Age], "&lt;14", Table36103[Service Accessed 2], "No")</f>
        <v>0</v>
      </c>
      <c r="C126" s="79" t="s">
        <v>407</v>
      </c>
      <c r="D126" s="79" t="s">
        <v>222</v>
      </c>
      <c r="E126" s="234"/>
      <c r="G126" s="340"/>
      <c r="H126" s="123" t="s">
        <v>281</v>
      </c>
      <c r="I126" s="127">
        <f>SUM('Non-Treatment Supports General'!$F:$F, 'Non-Treatment Supports General'!$O:$O, 'Non-Treatment Supports General'!$X:$X, 'Non-Treatment Supports General'!$AG:$AG, 'Non-Treatment Supports General'!$AP:$AP, 'Non-Treatment Supports General'!$AY:$AY, 'Non-Treatment Supports General'!$BH:$BH, 'Non-Treatment Supports General'!$BQ:$BQ, 'Non-Treatment Supports General'!$CA:$CA)</f>
        <v>0</v>
      </c>
      <c r="J126" s="128">
        <f>SUM('Drug &amp; Alcohol'!$F:$F, 'Drug &amp; Alcohol'!$O:$O, 'Drug &amp; Alcohol'!$X:$X, 'Drug &amp; Alcohol'!$AG:$AG, 'Drug &amp; Alcohol'!$AP:$AP, 'Drug &amp; Alcohol'!$AY:$AY, 'Drug &amp; Alcohol'!$BH:$BH, 'Drug &amp; Alcohol'!$BQ:$BQ, 'Drug &amp; Alcohol'!$CA:$CA)</f>
        <v>0</v>
      </c>
      <c r="K126" s="100">
        <f>SUM('Mental Health Treatment'!$F:$F, 'Mental Health Treatment'!$O:$O, 'Mental Health Treatment'!$X:$X, 'Mental Health Treatment'!$AG:$AG, 'Mental Health Treatment'!$AP:$AP, 'Mental Health Treatment'!$AY:$AY, 'Mental Health Treatment'!$BH:$BH, 'Mental Health Treatment'!$BQ:$BQ, 'Mental Health Treatment'!$CA:$CA)</f>
        <v>0</v>
      </c>
    </row>
    <row r="127" spans="1:17">
      <c r="A127" s="231"/>
      <c r="B127" s="157">
        <f>COUNTIFS(Table36103[Age], "&gt;10", Table36103[Age], "&lt;14", Table36103[Service Accessed 2], "Don't Know")</f>
        <v>0</v>
      </c>
      <c r="C127" s="78" t="s">
        <v>408</v>
      </c>
      <c r="D127" s="78" t="s">
        <v>222</v>
      </c>
      <c r="E127" s="234"/>
      <c r="G127" s="340"/>
      <c r="H127" s="123" t="s">
        <v>283</v>
      </c>
      <c r="I127" s="124">
        <f>SUM('Non-Treatment Supports General'!$G:$G, 'Non-Treatment Supports General'!$P:$P, 'Non-Treatment Supports General'!$Y:$Y, 'Non-Treatment Supports General'!$AH:$AH, 'Non-Treatment Supports General'!$AQ:$AQ, 'Non-Treatment Supports General'!$AZ:$AZ, 'Non-Treatment Supports General'!BP:BP, 'Non-Treatment Supports General'!$BR:$BR, 'Non-Treatment Supports General'!$CB:$CB)</f>
        <v>0</v>
      </c>
      <c r="J127" s="125">
        <f>SUM('Drug &amp; Alcohol'!$G:$G, 'Drug &amp; Alcohol'!$P:$P, 'Drug &amp; Alcohol'!$Y:$Y, 'Drug &amp; Alcohol'!$AH:$AH, 'Drug &amp; Alcohol'!$AQ:$AQ, 'Drug &amp; Alcohol'!$AZ:$AZ, 'Drug &amp; Alcohol'!$BI:$BI, 'Drug &amp; Alcohol'!$BR:$BR, 'Drug &amp; Alcohol'!$CB:$CB)</f>
        <v>0</v>
      </c>
      <c r="K127" s="109">
        <f>SUM('Mental Health Treatment'!$G:$G, 'Mental Health Treatment'!$P:$P, 'Mental Health Treatment'!$Y:$Y, 'Mental Health Treatment'!$AH:$AH, 'Mental Health Treatment'!$AQ:$AQ, 'Mental Health Treatment'!$AZ:$AZ, 'Mental Health Treatment'!$BI:$BI, 'Mental Health Treatment'!$BR:$BR, 'Mental Health Treatment'!$CB:$CB)</f>
        <v>0</v>
      </c>
    </row>
    <row r="128" spans="1:17">
      <c r="A128" s="231"/>
      <c r="B128" s="157">
        <f>COUNTIFS(Table36103[Age], "&gt;10", Table36103[Age], "&lt;14", Table36103[Service Accessed 3], "Yes")</f>
        <v>0</v>
      </c>
      <c r="C128" s="79" t="s">
        <v>409</v>
      </c>
      <c r="D128" s="79" t="s">
        <v>222</v>
      </c>
      <c r="E128" s="234"/>
      <c r="G128" s="340"/>
      <c r="H128" s="123" t="s">
        <v>285</v>
      </c>
      <c r="I128" s="127">
        <f>SUM('Non-Treatment Supports General'!$H:$H, 'Non-Treatment Supports General'!$Q:$Q, 'Non-Treatment Supports General'!$Z:$Z, 'Non-Treatment Supports General'!$AI:$AI, 'Non-Treatment Supports General'!$AR:$AR, 'Non-Treatment Supports General'!$BA:$BA, 'Non-Treatment Supports General'!BQ:BQ, 'Non-Treatment Supports General'!$BS:$BS, 'Non-Treatment Supports General'!$CC:$CC)</f>
        <v>0</v>
      </c>
      <c r="J128" s="128">
        <f>SUM('Drug &amp; Alcohol'!$H:$H, 'Drug &amp; Alcohol'!$Q:$Q, 'Drug &amp; Alcohol'!$Z:$Z, 'Drug &amp; Alcohol'!$AI:$AI, 'Drug &amp; Alcohol'!$AR:$AR, 'Drug &amp; Alcohol'!$BA:$BA, 'Drug &amp; Alcohol'!$BJ:$BJ, 'Drug &amp; Alcohol'!$BS:$BS, 'Drug &amp; Alcohol'!$CC:$CC)</f>
        <v>0</v>
      </c>
      <c r="K128" s="100">
        <f>SUM('Mental Health Treatment'!$H:$H, 'Mental Health Treatment'!$Q:$Q, 'Mental Health Treatment'!$Z:$Z, 'Mental Health Treatment'!$AI:$AI, 'Mental Health Treatment'!$AR:$AR, 'Mental Health Treatment'!$BA:$BA, 'Mental Health Treatment'!$BJ:$BJ, 'Mental Health Treatment'!$BS:$BS, 'Mental Health Treatment'!$CC:$CC)</f>
        <v>0</v>
      </c>
    </row>
    <row r="129" spans="1:11">
      <c r="A129" s="231"/>
      <c r="B129" s="157">
        <f>COUNTIFS(Table36103[Age], "&gt;10", Table36103[Age], "&lt;14", Table36103[Service Accessed 3], "No")</f>
        <v>0</v>
      </c>
      <c r="C129" s="78" t="s">
        <v>410</v>
      </c>
      <c r="D129" s="78" t="s">
        <v>222</v>
      </c>
      <c r="E129" s="234"/>
      <c r="G129" s="340"/>
      <c r="H129" s="123" t="s">
        <v>287</v>
      </c>
      <c r="I129" s="124">
        <f>SUM('Non-Treatment Supports General'!$I:$I, 'Non-Treatment Supports General'!$R:$R, 'Non-Treatment Supports General'!$AA:$AA, 'Non-Treatment Supports General'!$AJ:$AJ, 'Non-Treatment Supports General'!$AS:$AS, 'Non-Treatment Supports General'!$BB:$BB, 'Non-Treatment Supports General'!BR:BR, 'Non-Treatment Supports General'!$BT:$BT, 'Non-Treatment Supports General'!$CD:$CD)</f>
        <v>0</v>
      </c>
      <c r="J129" s="125">
        <f>SUM('Drug &amp; Alcohol'!$I:$I, 'Drug &amp; Alcohol'!$R:$R, 'Drug &amp; Alcohol'!$AA:$AA, 'Drug &amp; Alcohol'!$AJ:$AJ, 'Drug &amp; Alcohol'!$AS:$AS, 'Drug &amp; Alcohol'!$BB:$BB, 'Drug &amp; Alcohol'!$BK:$BK, 'Drug &amp; Alcohol'!$BT:$BT, 'Drug &amp; Alcohol'!$CD:$CD)</f>
        <v>0</v>
      </c>
      <c r="K129" s="109">
        <f>SUM('Mental Health Treatment'!$I:$I, 'Mental Health Treatment'!$R:$R, 'Mental Health Treatment'!$AA:$AA, 'Mental Health Treatment'!$AJ:$AJ, 'Mental Health Treatment'!$AS:$AS, 'Mental Health Treatment'!$BB:$BB, 'Mental Health Treatment'!$BK:$BK, 'Mental Health Treatment'!$BT:$BT, 'Mental Health Treatment'!$CD:$CD)</f>
        <v>0</v>
      </c>
    </row>
    <row r="130" spans="1:11">
      <c r="A130" s="231"/>
      <c r="B130" s="157">
        <f>COUNTIFS(Table36103[Age], "&gt;10", Table36103[Age], "&lt;14", Table36103[Service Accessed 3], "Don't Know")</f>
        <v>0</v>
      </c>
      <c r="C130" s="79" t="s">
        <v>411</v>
      </c>
      <c r="D130" s="79" t="s">
        <v>222</v>
      </c>
      <c r="E130" s="234"/>
      <c r="G130" s="340"/>
      <c r="H130" s="123" t="s">
        <v>289</v>
      </c>
      <c r="I130" s="127">
        <f>SUM('Non-Treatment Supports General'!$J:$J, 'Non-Treatment Supports General'!$S:$S, 'Non-Treatment Supports General'!$AB:$AB, 'Non-Treatment Supports General'!$AK:$AK, 'Non-Treatment Supports General'!$AT:$AT, 'Non-Treatment Supports General'!$BC:$BC, 'Non-Treatment Supports General'!BS:BS, 'Non-Treatment Supports General'!$BU:$BU, 'Non-Treatment Supports General'!$CE:$CE)</f>
        <v>0</v>
      </c>
      <c r="J130" s="128">
        <f>SUM('Drug &amp; Alcohol'!$J:$J, 'Drug &amp; Alcohol'!$S:$S, 'Drug &amp; Alcohol'!$AB:$AB, 'Drug &amp; Alcohol'!$AK:$AK, 'Drug &amp; Alcohol'!$AT:$AT, 'Drug &amp; Alcohol'!$BC:$BC, 'Drug &amp; Alcohol'!$BL:$BL, 'Drug &amp; Alcohol'!$BU:$BU, 'Drug &amp; Alcohol'!$CE:$CE)</f>
        <v>0</v>
      </c>
      <c r="K130" s="100">
        <f>SUM('Mental Health Treatment'!$J:$J, 'Mental Health Treatment'!$S:$S, 'Mental Health Treatment'!$AB:$AB, 'Mental Health Treatment'!$AK:$AK, 'Mental Health Treatment'!$AT:$AT, 'Mental Health Treatment'!$BC:$BC, 'Mental Health Treatment'!$BL:$BL, 'Mental Health Treatment'!$BU:$BU, 'Mental Health Treatment'!$CE:$CE)</f>
        <v>0</v>
      </c>
    </row>
    <row r="131" spans="1:11" ht="24" thickBot="1">
      <c r="A131" s="231"/>
      <c r="B131" s="157">
        <f>COUNTIFS(Table36103[Age], "&gt;10", Table36103[Age], "&lt;14", Table36103[Service Accessed 4], "Yes")</f>
        <v>0</v>
      </c>
      <c r="C131" s="78" t="s">
        <v>412</v>
      </c>
      <c r="D131" s="78" t="s">
        <v>222</v>
      </c>
      <c r="E131" s="234"/>
      <c r="G131" s="341"/>
      <c r="H131" s="131" t="s">
        <v>291</v>
      </c>
      <c r="I131" s="171">
        <f>SUM('Non-Treatment Supports General'!$K:$K, 'Non-Treatment Supports General'!$T:$T, 'Non-Treatment Supports General'!$AC:$AC, 'Non-Treatment Supports General'!$AL:$AL, 'Non-Treatment Supports General'!$AU:$AU, 'Non-Treatment Supports General'!$BD:$BD, 'Non-Treatment Supports General'!BT:BT, 'Non-Treatment Supports General'!$BV:$BV, 'Non-Treatment Supports General'!$CF:$CF)</f>
        <v>0</v>
      </c>
      <c r="J131" s="172">
        <f>SUM('Drug &amp; Alcohol'!$K:$K, 'Drug &amp; Alcohol'!$T:$T, 'Drug &amp; Alcohol'!$AC:$AC, 'Drug &amp; Alcohol'!$AL:$AL, 'Drug &amp; Alcohol'!$AU:$AU, 'Drug &amp; Alcohol'!$BD:$BD, 'Drug &amp; Alcohol'!$BM:$BM, 'Drug &amp; Alcohol'!$BV:$BV, 'Drug &amp; Alcohol'!$CF:$CF)</f>
        <v>0</v>
      </c>
      <c r="K131" s="173">
        <f>SUM('Mental Health Treatment'!$K:$K, 'Mental Health Treatment'!$T:$T, 'Mental Health Treatment'!$AC:$AC, 'Mental Health Treatment'!$AL:$AL, 'Mental Health Treatment'!$AU:$AU, 'Mental Health Treatment'!$BD:$BD, 'Mental Health Treatment'!$BM:$BM, 'Mental Health Treatment'!$BV:$BV, 'Mental Health Treatment'!$CF:$CF)</f>
        <v>0</v>
      </c>
    </row>
    <row r="132" spans="1:11">
      <c r="A132" s="231"/>
      <c r="B132" s="157">
        <f>COUNTIFS(Table36103[Age], "&gt;10", Table36103[Age], "&lt;14", Table36103[Service Accessed 4], "No")</f>
        <v>0</v>
      </c>
      <c r="C132" s="79" t="s">
        <v>413</v>
      </c>
      <c r="D132" s="79" t="s">
        <v>222</v>
      </c>
      <c r="E132" s="234"/>
    </row>
    <row r="133" spans="1:11">
      <c r="A133" s="231"/>
      <c r="B133" s="157">
        <f>COUNTIFS(Table36103[Age], "&gt;10", Table36103[Age], "&lt;14", Table36103[Service Accessed 4], "Don't Know")</f>
        <v>0</v>
      </c>
      <c r="C133" s="78" t="s">
        <v>414</v>
      </c>
      <c r="D133" s="78" t="s">
        <v>222</v>
      </c>
      <c r="E133" s="234"/>
    </row>
    <row r="134" spans="1:11">
      <c r="A134" s="231"/>
      <c r="B134" s="157">
        <f>COUNTIFS(Table36103[Age], "&gt;10", Table36103[Age], "&lt;14", Table36103[Service Accessed 5], "Yes")</f>
        <v>0</v>
      </c>
      <c r="C134" s="79" t="s">
        <v>415</v>
      </c>
      <c r="D134" s="79" t="s">
        <v>222</v>
      </c>
      <c r="E134" s="234"/>
    </row>
    <row r="135" spans="1:11">
      <c r="A135" s="231"/>
      <c r="B135" s="157">
        <f>COUNTIFS(Table36103[Age], "&gt;10", Table36103[Age], "&lt;14", Table36103[Service Accessed 5], "No")</f>
        <v>0</v>
      </c>
      <c r="C135" s="78" t="s">
        <v>416</v>
      </c>
      <c r="D135" s="78" t="s">
        <v>222</v>
      </c>
      <c r="E135" s="234"/>
    </row>
    <row r="136" spans="1:11">
      <c r="A136" s="231"/>
      <c r="B136" s="157">
        <f>COUNTIFS(Table36103[Age], "&gt;10", Table36103[Age], "&lt;14", Table36103[Service Accessed 5], "Don't Know")</f>
        <v>0</v>
      </c>
      <c r="C136" s="79" t="s">
        <v>417</v>
      </c>
      <c r="D136" s="79" t="s">
        <v>222</v>
      </c>
      <c r="E136" s="234"/>
    </row>
    <row r="137" spans="1:11">
      <c r="A137" s="231"/>
      <c r="B137" s="157">
        <f>COUNTIFS(Table36103[Age], "&gt;10", Table36103[Age], "&lt;14", Table36103[Service Accessed 6], "Yes")</f>
        <v>0</v>
      </c>
      <c r="C137" s="78" t="s">
        <v>418</v>
      </c>
      <c r="D137" s="78" t="s">
        <v>222</v>
      </c>
      <c r="E137" s="234"/>
    </row>
    <row r="138" spans="1:11">
      <c r="A138" s="231"/>
      <c r="B138" s="157">
        <f>COUNTIFS(Table36103[Age], "&gt;10", Table36103[Age], "&lt;14", Table36103[Service Accessed 6], "No")</f>
        <v>0</v>
      </c>
      <c r="C138" s="79" t="s">
        <v>419</v>
      </c>
      <c r="D138" s="79" t="s">
        <v>222</v>
      </c>
      <c r="E138" s="234"/>
    </row>
    <row r="139" spans="1:11">
      <c r="A139" s="231"/>
      <c r="B139" s="157">
        <f>COUNTIFS(Table36103[Age], "&gt;10", Table36103[Age], "&lt;14", Table36103[Service Accessed 6], "Don't Know")</f>
        <v>0</v>
      </c>
      <c r="C139" s="78" t="s">
        <v>420</v>
      </c>
      <c r="D139" s="78" t="s">
        <v>222</v>
      </c>
      <c r="E139" s="234"/>
    </row>
    <row r="140" spans="1:11">
      <c r="A140" s="231"/>
      <c r="B140" s="157">
        <f>COUNTIFS(Table36103[Age], "&gt;10", Table36103[Age], "&lt;14", Table36103[Service Accessed 7], "Yes")</f>
        <v>0</v>
      </c>
      <c r="C140" s="79" t="s">
        <v>421</v>
      </c>
      <c r="D140" s="79" t="s">
        <v>222</v>
      </c>
      <c r="E140" s="234"/>
    </row>
    <row r="141" spans="1:11">
      <c r="A141" s="231"/>
      <c r="B141" s="157">
        <f>COUNTIFS(Table36103[Age], "&gt;10", Table36103[Age], "&lt;14", Table36103[Service Accessed 7], "No")</f>
        <v>0</v>
      </c>
      <c r="C141" s="78" t="s">
        <v>422</v>
      </c>
      <c r="D141" s="78" t="s">
        <v>222</v>
      </c>
      <c r="E141" s="234"/>
    </row>
    <row r="142" spans="1:11">
      <c r="A142" s="231"/>
      <c r="B142" s="157">
        <f>COUNTIFS(Table36103[Age], "&gt;10", Table36103[Age], "&lt;14", Table36103[Service Accessed 7], "Don't Know")</f>
        <v>0</v>
      </c>
      <c r="C142" s="79" t="s">
        <v>423</v>
      </c>
      <c r="D142" s="79" t="s">
        <v>222</v>
      </c>
      <c r="E142" s="234"/>
    </row>
    <row r="143" spans="1:11">
      <c r="A143" s="231"/>
      <c r="B143" s="157">
        <f>COUNTIFS(Table36103[Age], "&gt;10", Table36103[Age], "&lt;14", Table36103[Service Accessed 8], "Yes")</f>
        <v>0</v>
      </c>
      <c r="C143" s="78" t="s">
        <v>424</v>
      </c>
      <c r="D143" s="78" t="s">
        <v>222</v>
      </c>
      <c r="E143" s="234"/>
    </row>
    <row r="144" spans="1:11">
      <c r="A144" s="231"/>
      <c r="B144" s="157">
        <f>COUNTIFS(Table36103[Age], "&gt;10", Table36103[Age], "&lt;14", Table36103[Service Accessed 8], "No")</f>
        <v>0</v>
      </c>
      <c r="C144" s="79" t="s">
        <v>425</v>
      </c>
      <c r="D144" s="79" t="s">
        <v>222</v>
      </c>
      <c r="E144" s="234"/>
    </row>
    <row r="145" spans="1:5">
      <c r="A145" s="231"/>
      <c r="B145" s="157">
        <f>COUNTIFS(Table36103[Age], "&gt;10", Table36103[Age], "&lt;14", Table36103[Service Accessed 8], "Don't Know")</f>
        <v>0</v>
      </c>
      <c r="C145" s="78" t="s">
        <v>426</v>
      </c>
      <c r="D145" s="78" t="s">
        <v>222</v>
      </c>
      <c r="E145" s="234"/>
    </row>
    <row r="146" spans="1:5">
      <c r="A146" s="231"/>
      <c r="B146" s="157">
        <f>COUNTIFS(Table36103[Age], "&gt;10", Table36103[Age], "&lt;14", Table36103[Service Accessed 9], "Yes")</f>
        <v>0</v>
      </c>
      <c r="C146" s="79" t="s">
        <v>427</v>
      </c>
      <c r="D146" s="79" t="s">
        <v>222</v>
      </c>
      <c r="E146" s="234"/>
    </row>
    <row r="147" spans="1:5">
      <c r="A147" s="231"/>
      <c r="B147" s="157">
        <f>COUNTIFS(Table36103[Age], "&gt;10", Table36103[Age], "&lt;14", Table36103[Service Accessed 9], "No")</f>
        <v>0</v>
      </c>
      <c r="C147" s="78" t="s">
        <v>428</v>
      </c>
      <c r="D147" s="78" t="s">
        <v>222</v>
      </c>
      <c r="E147" s="234"/>
    </row>
    <row r="148" spans="1:5" ht="24" thickBot="1">
      <c r="A148" s="231"/>
      <c r="B148" s="157">
        <f>COUNTIFS(Table36103[Age], "&gt;10", Table36103[Age], "&lt;14", Table36103[Service Accessed 9], "Don't Know")</f>
        <v>0</v>
      </c>
      <c r="C148" s="79" t="s">
        <v>429</v>
      </c>
      <c r="D148" s="79" t="s">
        <v>222</v>
      </c>
      <c r="E148" s="235"/>
    </row>
    <row r="149" spans="1:5">
      <c r="A149" s="231"/>
      <c r="B149" s="157">
        <f>COUNTIFS(Table36103[Age], "&gt;=14", Table36103[Service Accessed 1], "Yes")</f>
        <v>0</v>
      </c>
      <c r="C149" s="78" t="s">
        <v>430</v>
      </c>
      <c r="D149" s="78" t="s">
        <v>222</v>
      </c>
      <c r="E149" s="233" t="s">
        <v>431</v>
      </c>
    </row>
    <row r="150" spans="1:5">
      <c r="A150" s="231"/>
      <c r="B150" s="157">
        <f>COUNTIFS(Table36103[Age], "&gt;=14", Table36103[Service Accessed 1], "No")</f>
        <v>0</v>
      </c>
      <c r="C150" s="79" t="s">
        <v>432</v>
      </c>
      <c r="D150" s="79" t="s">
        <v>222</v>
      </c>
      <c r="E150" s="234"/>
    </row>
    <row r="151" spans="1:5">
      <c r="A151" s="231"/>
      <c r="B151" s="157">
        <f>COUNTIFS(Table36103[Age], "&gt;=14", Table36103[Service Accessed 1], "Don't Know")</f>
        <v>0</v>
      </c>
      <c r="C151" s="78" t="s">
        <v>433</v>
      </c>
      <c r="D151" s="78" t="s">
        <v>222</v>
      </c>
      <c r="E151" s="234"/>
    </row>
    <row r="152" spans="1:5">
      <c r="A152" s="231"/>
      <c r="B152" s="157">
        <f>COUNTIFS(Table36103[Age], "&gt;=14", Table36103[Service Accessed 2], "Yes")</f>
        <v>0</v>
      </c>
      <c r="C152" s="79" t="s">
        <v>434</v>
      </c>
      <c r="D152" s="79" t="s">
        <v>222</v>
      </c>
      <c r="E152" s="234"/>
    </row>
    <row r="153" spans="1:5">
      <c r="A153" s="231"/>
      <c r="B153" s="157">
        <f>COUNTIFS(Table36103[Age], "&gt;=14", Table36103[Service Accessed 2], "No")</f>
        <v>0</v>
      </c>
      <c r="C153" s="78" t="s">
        <v>435</v>
      </c>
      <c r="D153" s="78" t="s">
        <v>222</v>
      </c>
      <c r="E153" s="234"/>
    </row>
    <row r="154" spans="1:5">
      <c r="A154" s="231"/>
      <c r="B154" s="157">
        <f>COUNTIFS(Table36103[Age], "&gt;=14", Table36103[Service Accessed 2], "Don't Know")</f>
        <v>0</v>
      </c>
      <c r="C154" s="79" t="s">
        <v>436</v>
      </c>
      <c r="D154" s="79" t="s">
        <v>222</v>
      </c>
      <c r="E154" s="234"/>
    </row>
    <row r="155" spans="1:5">
      <c r="A155" s="231"/>
      <c r="B155" s="157">
        <f>COUNTIFS(Table36103[Age], "&gt;=14", Table36103[Service Accessed 3], "Yes")</f>
        <v>0</v>
      </c>
      <c r="C155" s="78" t="s">
        <v>437</v>
      </c>
      <c r="D155" s="78" t="s">
        <v>222</v>
      </c>
      <c r="E155" s="234"/>
    </row>
    <row r="156" spans="1:5">
      <c r="A156" s="231"/>
      <c r="B156" s="157">
        <f>COUNTIFS(Table36103[Age], "&gt;=14", Table36103[Service Accessed 3], "No")</f>
        <v>0</v>
      </c>
      <c r="C156" s="79" t="s">
        <v>438</v>
      </c>
      <c r="D156" s="79" t="s">
        <v>222</v>
      </c>
      <c r="E156" s="234"/>
    </row>
    <row r="157" spans="1:5">
      <c r="A157" s="231"/>
      <c r="B157" s="157">
        <f>COUNTIFS(Table36103[Age], "&gt;=14", Table36103[Service Accessed 3], "Don't Know")</f>
        <v>0</v>
      </c>
      <c r="C157" s="78" t="s">
        <v>439</v>
      </c>
      <c r="D157" s="78" t="s">
        <v>222</v>
      </c>
      <c r="E157" s="234"/>
    </row>
    <row r="158" spans="1:5">
      <c r="A158" s="231"/>
      <c r="B158" s="157">
        <f>COUNTIFS(Table36103[Age], "&gt;=14", Table36103[Service Accessed 4], "Yes")</f>
        <v>0</v>
      </c>
      <c r="C158" s="79" t="s">
        <v>440</v>
      </c>
      <c r="D158" s="79" t="s">
        <v>222</v>
      </c>
      <c r="E158" s="234"/>
    </row>
    <row r="159" spans="1:5">
      <c r="A159" s="231"/>
      <c r="B159" s="157">
        <f>COUNTIFS(Table36103[Age], "&gt;=14", Table36103[Service Accessed 4], "No")</f>
        <v>0</v>
      </c>
      <c r="C159" s="78" t="s">
        <v>441</v>
      </c>
      <c r="D159" s="78" t="s">
        <v>222</v>
      </c>
      <c r="E159" s="234"/>
    </row>
    <row r="160" spans="1:5">
      <c r="A160" s="231"/>
      <c r="B160" s="157">
        <f>COUNTIFS(Table36103[Age], "&gt;=14", Table36103[Service Accessed 4], "Don't Know")</f>
        <v>0</v>
      </c>
      <c r="C160" s="79" t="s">
        <v>442</v>
      </c>
      <c r="D160" s="79" t="s">
        <v>222</v>
      </c>
      <c r="E160" s="234"/>
    </row>
    <row r="161" spans="1:5">
      <c r="A161" s="231"/>
      <c r="B161" s="157">
        <f>COUNTIFS(Table36103[Age], "&gt;=14", Table36103[Service Accessed 5], "Yes")</f>
        <v>0</v>
      </c>
      <c r="C161" s="78" t="s">
        <v>443</v>
      </c>
      <c r="D161" s="78" t="s">
        <v>222</v>
      </c>
      <c r="E161" s="234"/>
    </row>
    <row r="162" spans="1:5">
      <c r="A162" s="231"/>
      <c r="B162" s="157">
        <f>COUNTIFS(Table36103[Age], "&gt;=14", Table36103[Service Accessed 5], "No")</f>
        <v>0</v>
      </c>
      <c r="C162" s="79" t="s">
        <v>444</v>
      </c>
      <c r="D162" s="79" t="s">
        <v>222</v>
      </c>
      <c r="E162" s="234"/>
    </row>
    <row r="163" spans="1:5">
      <c r="A163" s="231"/>
      <c r="B163" s="157">
        <f>COUNTIFS(Table36103[Age], "&gt;=14", Table36103[Service Accessed 5], "Don't Know")</f>
        <v>0</v>
      </c>
      <c r="C163" s="78" t="s">
        <v>445</v>
      </c>
      <c r="D163" s="78" t="s">
        <v>222</v>
      </c>
      <c r="E163" s="234"/>
    </row>
    <row r="164" spans="1:5">
      <c r="A164" s="231"/>
      <c r="B164" s="157">
        <f>COUNTIFS(Table36103[Age], "&gt;=14", Table36103[Service Accessed 6], "Yes")</f>
        <v>0</v>
      </c>
      <c r="C164" s="79" t="s">
        <v>446</v>
      </c>
      <c r="D164" s="79" t="s">
        <v>222</v>
      </c>
      <c r="E164" s="234"/>
    </row>
    <row r="165" spans="1:5">
      <c r="A165" s="231"/>
      <c r="B165" s="157">
        <f>COUNTIFS(Table36103[Age], "&gt;=14", Table36103[Service Accessed 6], "No")</f>
        <v>0</v>
      </c>
      <c r="C165" s="78" t="s">
        <v>447</v>
      </c>
      <c r="D165" s="78" t="s">
        <v>222</v>
      </c>
      <c r="E165" s="234"/>
    </row>
    <row r="166" spans="1:5">
      <c r="A166" s="231"/>
      <c r="B166" s="157">
        <f>COUNTIFS(Table36103[Age], "&gt;=14", Table36103[Service Accessed 6], "Don't Know")</f>
        <v>0</v>
      </c>
      <c r="C166" s="79" t="s">
        <v>448</v>
      </c>
      <c r="D166" s="79" t="s">
        <v>222</v>
      </c>
      <c r="E166" s="234"/>
    </row>
    <row r="167" spans="1:5">
      <c r="A167" s="231"/>
      <c r="B167" s="157">
        <f>COUNTIFS(Table36103[Age], "&gt;=14", Table36103[Service Accessed 7], "Yes")</f>
        <v>0</v>
      </c>
      <c r="C167" s="78" t="s">
        <v>449</v>
      </c>
      <c r="D167" s="78" t="s">
        <v>222</v>
      </c>
      <c r="E167" s="234"/>
    </row>
    <row r="168" spans="1:5">
      <c r="A168" s="231"/>
      <c r="B168" s="157">
        <f>COUNTIFS(Table36103[Age], "&gt;=14", Table36103[Service Accessed 7], "No")</f>
        <v>0</v>
      </c>
      <c r="C168" s="79" t="s">
        <v>450</v>
      </c>
      <c r="D168" s="79" t="s">
        <v>222</v>
      </c>
      <c r="E168" s="234"/>
    </row>
    <row r="169" spans="1:5">
      <c r="A169" s="231"/>
      <c r="B169" s="157">
        <f>COUNTIFS(Table36103[Age], "&gt;=14", Table36103[Service Accessed 7], "Don't Know")</f>
        <v>0</v>
      </c>
      <c r="C169" s="78" t="s">
        <v>451</v>
      </c>
      <c r="D169" s="78" t="s">
        <v>222</v>
      </c>
      <c r="E169" s="234"/>
    </row>
    <row r="170" spans="1:5">
      <c r="A170" s="231"/>
      <c r="B170" s="157">
        <f>COUNTIFS(Table36103[Age], "&gt;=14", Table36103[Service Accessed 8], "Yes")</f>
        <v>0</v>
      </c>
      <c r="C170" s="79" t="s">
        <v>452</v>
      </c>
      <c r="D170" s="79" t="s">
        <v>222</v>
      </c>
      <c r="E170" s="234"/>
    </row>
    <row r="171" spans="1:5">
      <c r="A171" s="231"/>
      <c r="B171" s="157">
        <f>COUNTIFS(Table36103[Age], "&gt;=14", Table36103[Service Accessed 8], "No")</f>
        <v>0</v>
      </c>
      <c r="C171" s="78" t="s">
        <v>453</v>
      </c>
      <c r="D171" s="78" t="s">
        <v>222</v>
      </c>
      <c r="E171" s="234"/>
    </row>
    <row r="172" spans="1:5">
      <c r="A172" s="231"/>
      <c r="B172" s="157">
        <f>COUNTIFS(Table36103[Age], "&gt;=14", Table36103[Service Accessed 8], "Don't Know")</f>
        <v>0</v>
      </c>
      <c r="C172" s="79" t="s">
        <v>454</v>
      </c>
      <c r="D172" s="79" t="s">
        <v>222</v>
      </c>
      <c r="E172" s="234"/>
    </row>
    <row r="173" spans="1:5">
      <c r="A173" s="231"/>
      <c r="B173" s="157">
        <f>COUNTIFS(Table36103[Age], "&gt;=14", Table36103[Service Accessed 9], "Yes")</f>
        <v>0</v>
      </c>
      <c r="C173" s="78" t="s">
        <v>455</v>
      </c>
      <c r="D173" s="78" t="s">
        <v>222</v>
      </c>
      <c r="E173" s="234"/>
    </row>
    <row r="174" spans="1:5">
      <c r="A174" s="231"/>
      <c r="B174" s="157">
        <f>COUNTIFS(Table36103[Age], "&gt;=14", Table36103[Service Accessed 9], "No")</f>
        <v>0</v>
      </c>
      <c r="C174" s="79" t="s">
        <v>456</v>
      </c>
      <c r="D174" s="79" t="s">
        <v>222</v>
      </c>
      <c r="E174" s="234"/>
    </row>
    <row r="175" spans="1:5">
      <c r="A175" s="229"/>
      <c r="B175" s="157">
        <f>COUNTIFS(Table36103[Age], "&gt;=14", Table36103[Service Accessed 9], "Don't Know")</f>
        <v>0</v>
      </c>
      <c r="C175" s="80" t="s">
        <v>457</v>
      </c>
      <c r="D175" s="80" t="s">
        <v>222</v>
      </c>
      <c r="E175" s="342"/>
    </row>
    <row r="176" spans="1:5" ht="21.75" thickBot="1">
      <c r="A176" s="269" t="s">
        <v>274</v>
      </c>
      <c r="B176" s="269"/>
      <c r="C176" s="269"/>
      <c r="D176" s="269"/>
      <c r="E176" s="343"/>
    </row>
    <row r="177" spans="1:5">
      <c r="A177" s="231" t="s">
        <v>458</v>
      </c>
      <c r="B177" s="174">
        <f>SUM(Recommendations!H:H, Recommendations!Q:Q, Recommendations!Z:Z, Recommendations!AI:AI, Recommendations!AR:AR, Recommendations!BA:BA, Recommendations!BJ:BJ, Recommendations!BS:BS, Recommendations!CC:CC)</f>
        <v>0</v>
      </c>
      <c r="C177" s="78" t="s">
        <v>459</v>
      </c>
      <c r="D177" s="151" t="s">
        <v>222</v>
      </c>
      <c r="E177" s="233" t="s">
        <v>460</v>
      </c>
    </row>
    <row r="178" spans="1:5">
      <c r="A178" s="231"/>
      <c r="B178" s="174">
        <f>SUM(Recommendations!I:I, Recommendations!R:R, Recommendations!AA:AA, Recommendations!AJ:AJ, Recommendations!AS:AS, Recommendations!BB:BB, Recommendations!BK:BK, Recommendations!BT:BT, Recommendations!CD:CD)</f>
        <v>0</v>
      </c>
      <c r="C178" s="79" t="s">
        <v>461</v>
      </c>
      <c r="D178" s="152" t="s">
        <v>222</v>
      </c>
      <c r="E178" s="234"/>
    </row>
    <row r="179" spans="1:5">
      <c r="A179" s="231"/>
      <c r="B179" s="174">
        <f>SUM(Recommendations!J:J, Recommendations!S:S, Recommendations!AB:AB, Recommendations!AK:AK, Recommendations!AT:AT, Recommendations!BC:BC, Recommendations!BL:BL, Recommendations!BU:BU, Recommendations!CE:CE)</f>
        <v>0</v>
      </c>
      <c r="C179" s="78" t="s">
        <v>462</v>
      </c>
      <c r="D179" s="151" t="s">
        <v>222</v>
      </c>
      <c r="E179" s="234"/>
    </row>
    <row r="180" spans="1:5">
      <c r="A180" s="231"/>
      <c r="B180" s="174">
        <f>SUM(Recommendations!K:K, Recommendations!T:T, Recommendations!AC:AC, Recommendations!AL:AL, Recommendations!AU:AU, Recommendations!BD:BD, Recommendations!BM:BM, Recommendations!BV:BV, Recommendations!CF:CF)</f>
        <v>0</v>
      </c>
      <c r="C180" s="79" t="s">
        <v>463</v>
      </c>
      <c r="D180" s="152" t="s">
        <v>222</v>
      </c>
      <c r="E180" s="234"/>
    </row>
    <row r="181" spans="1:5">
      <c r="A181" s="231"/>
      <c r="B181" s="174">
        <f>SUM(Recommendations!L:L, Recommendations!U:U, Recommendations!AD:AD, Recommendations!AM:AM, Recommendations!AV:AV, Recommendations!BE:BE, Recommendations!BN:BN, Recommendations!BW:BW, Recommendations!CG:CG)</f>
        <v>0</v>
      </c>
      <c r="C181" s="78" t="s">
        <v>464</v>
      </c>
      <c r="D181" s="151" t="s">
        <v>222</v>
      </c>
      <c r="E181" s="234"/>
    </row>
    <row r="182" spans="1:5">
      <c r="A182" s="231"/>
      <c r="B182" s="174">
        <f>SUM(Recommendations!M:M, Recommendations!V:V, Recommendations!AE:AE, Recommendations!AN:AN, Recommendations!AW:AW, Recommendations!BF:BF, Recommendations!BO:BO, Recommendations!BX:BX, Recommendations!CH:CH)</f>
        <v>0</v>
      </c>
      <c r="C182" s="79" t="s">
        <v>465</v>
      </c>
      <c r="D182" s="152" t="s">
        <v>222</v>
      </c>
      <c r="E182" s="234"/>
    </row>
    <row r="183" spans="1:5" ht="24" thickBot="1">
      <c r="A183" s="231"/>
      <c r="B183" s="174">
        <f>SUM(Recommendations!N:N, Recommendations!W:W, Recommendations!AF:AF, Recommendations!AO:AO, Recommendations!AX:AX, Recommendations!BG:BG, Recommendations!BP:BP, Recommendations!BY:BY, Recommendations!CI:CI)</f>
        <v>0</v>
      </c>
      <c r="C183" s="78" t="s">
        <v>466</v>
      </c>
      <c r="D183" s="151" t="s">
        <v>222</v>
      </c>
      <c r="E183" s="235"/>
    </row>
    <row r="184" spans="1:5" ht="21">
      <c r="A184" s="259" t="s">
        <v>467</v>
      </c>
      <c r="B184" s="259"/>
      <c r="C184" s="259"/>
      <c r="D184" s="259"/>
      <c r="E184" s="259"/>
    </row>
    <row r="185" spans="1:5" ht="21">
      <c r="A185" s="244" t="s">
        <v>468</v>
      </c>
      <c r="B185" s="244"/>
      <c r="C185" s="244"/>
      <c r="D185" s="244"/>
      <c r="E185" s="244"/>
    </row>
    <row r="186" spans="1:5" ht="21">
      <c r="A186" s="343" t="s">
        <v>295</v>
      </c>
      <c r="B186" s="343"/>
      <c r="C186" s="343"/>
      <c r="D186" s="343"/>
      <c r="E186" s="343"/>
    </row>
    <row r="187" spans="1:5">
      <c r="A187" s="231" t="s">
        <v>469</v>
      </c>
      <c r="B187" s="175">
        <f>COUNTIFS(Table1[Gender], "Male", Table1[Race], "White", Table1[Age], "&lt;=10")</f>
        <v>0</v>
      </c>
      <c r="C187" s="78" t="s">
        <v>470</v>
      </c>
      <c r="D187" s="78" t="s">
        <v>222</v>
      </c>
      <c r="E187" s="237" t="s">
        <v>471</v>
      </c>
    </row>
    <row r="188" spans="1:5">
      <c r="A188" s="231"/>
      <c r="B188" s="175">
        <f>COUNTIFS(Table1[Gender], "Female", Table1[Race], "White", Table1[Age], "&lt;=10")</f>
        <v>0</v>
      </c>
      <c r="C188" s="79" t="s">
        <v>472</v>
      </c>
      <c r="D188" s="79" t="s">
        <v>222</v>
      </c>
      <c r="E188" s="237"/>
    </row>
    <row r="189" spans="1:5">
      <c r="A189" s="231"/>
      <c r="B189" s="175">
        <f>COUNTIFS(Table1[Gender], "Non-Binary/Other", Table1[Race], "White", Table1[Age], "&lt;=10")</f>
        <v>0</v>
      </c>
      <c r="C189" s="78" t="s">
        <v>473</v>
      </c>
      <c r="D189" s="78" t="s">
        <v>222</v>
      </c>
      <c r="E189" s="237"/>
    </row>
    <row r="190" spans="1:5">
      <c r="A190" s="231"/>
      <c r="B190" s="175">
        <f>COUNTIFS(Table1[Gender], "Male", Table1[Race], "White", Table1[Age], "&gt;10", Table1[Age], "&lt;14")</f>
        <v>0</v>
      </c>
      <c r="C190" s="79" t="s">
        <v>474</v>
      </c>
      <c r="D190" s="79" t="s">
        <v>222</v>
      </c>
      <c r="E190" s="237"/>
    </row>
    <row r="191" spans="1:5">
      <c r="A191" s="231"/>
      <c r="B191" s="175">
        <f>COUNTIFS(Table1[Gender], "Female", Table1[Race], "White", Table1[Age], "&gt;10", Table1[Age], "&lt;14")</f>
        <v>0</v>
      </c>
      <c r="C191" s="78" t="s">
        <v>475</v>
      </c>
      <c r="D191" s="78" t="s">
        <v>222</v>
      </c>
      <c r="E191" s="237"/>
    </row>
    <row r="192" spans="1:5">
      <c r="A192" s="231"/>
      <c r="B192" s="175">
        <f>COUNTIFS(Table1[Gender], "Non-Binary/Other", Table1[Race], "White", Table1[Age], "&gt;10", Table1[Age], "&lt;14")</f>
        <v>0</v>
      </c>
      <c r="C192" s="79" t="s">
        <v>476</v>
      </c>
      <c r="D192" s="79" t="s">
        <v>222</v>
      </c>
      <c r="E192" s="237"/>
    </row>
    <row r="193" spans="1:5">
      <c r="A193" s="231"/>
      <c r="B193" s="175">
        <f>COUNTIFS(Table1[Gender], "Male", Table1[Race], "White", Table1[Age], "&gt;=14")</f>
        <v>0</v>
      </c>
      <c r="C193" s="78" t="s">
        <v>477</v>
      </c>
      <c r="D193" s="78" t="s">
        <v>222</v>
      </c>
      <c r="E193" s="237"/>
    </row>
    <row r="194" spans="1:5">
      <c r="A194" s="231"/>
      <c r="B194" s="175">
        <f>COUNTIFS(Table1[Gender], "Female", Table1[Race], "White", Table1[Age], "&gt;=14")</f>
        <v>0</v>
      </c>
      <c r="C194" s="79" t="s">
        <v>478</v>
      </c>
      <c r="D194" s="79" t="s">
        <v>222</v>
      </c>
      <c r="E194" s="237"/>
    </row>
    <row r="195" spans="1:5">
      <c r="A195" s="231"/>
      <c r="B195" s="175">
        <f>COUNTIFS(Table1[Gender], "Non-Binary/Other", Table1[Race], "White", Table1[Age], "&gt;=14")</f>
        <v>0</v>
      </c>
      <c r="C195" s="78" t="s">
        <v>479</v>
      </c>
      <c r="D195" s="78" t="s">
        <v>222</v>
      </c>
      <c r="E195" s="237"/>
    </row>
    <row r="196" spans="1:5">
      <c r="A196" s="231"/>
      <c r="B196" s="175">
        <f>COUNTIFS(Table1[Gender], "Male", Table1[Race], "Black or African American", Table1[Age], "&lt;=10")</f>
        <v>0</v>
      </c>
      <c r="C196" s="79" t="s">
        <v>480</v>
      </c>
      <c r="D196" s="79" t="s">
        <v>222</v>
      </c>
      <c r="E196" s="237"/>
    </row>
    <row r="197" spans="1:5">
      <c r="A197" s="231"/>
      <c r="B197" s="175">
        <f>COUNTIFS(Table1[Gender], "Female", Table1[Race], "Black or African American", Table1[Age], "&lt;=10")</f>
        <v>0</v>
      </c>
      <c r="C197" s="78" t="s">
        <v>481</v>
      </c>
      <c r="D197" s="78" t="s">
        <v>222</v>
      </c>
      <c r="E197" s="237"/>
    </row>
    <row r="198" spans="1:5">
      <c r="A198" s="231"/>
      <c r="B198" s="175">
        <f>COUNTIFS(Table1[Gender], "Non-Binary/Other", Table1[Race], "Black or African American", Table1[Age], "&lt;=10")</f>
        <v>0</v>
      </c>
      <c r="C198" s="79" t="s">
        <v>482</v>
      </c>
      <c r="D198" s="79" t="s">
        <v>222</v>
      </c>
      <c r="E198" s="237"/>
    </row>
    <row r="199" spans="1:5">
      <c r="A199" s="231"/>
      <c r="B199" s="175">
        <f>COUNTIFS(Table1[Gender], "Male", Table1[Race], "Black or African American", Table1[Age], "&gt;10", Table1[Age], "&lt;14")</f>
        <v>0</v>
      </c>
      <c r="C199" s="78" t="s">
        <v>483</v>
      </c>
      <c r="D199" s="78" t="s">
        <v>222</v>
      </c>
      <c r="E199" s="237"/>
    </row>
    <row r="200" spans="1:5">
      <c r="A200" s="231"/>
      <c r="B200" s="175">
        <f>COUNTIFS(Table1[Gender], "Female", Table1[Race], "Black or African American", Table1[Age], "&gt;10", Table1[Age], "&lt;14")</f>
        <v>0</v>
      </c>
      <c r="C200" s="79" t="s">
        <v>484</v>
      </c>
      <c r="D200" s="79" t="s">
        <v>222</v>
      </c>
      <c r="E200" s="237"/>
    </row>
    <row r="201" spans="1:5">
      <c r="A201" s="231"/>
      <c r="B201" s="175">
        <f>COUNTIFS(Table1[Gender], "Non-Binary/Other", Table1[Race], "Black or African American", Table1[Age], "&gt;10", Table1[Age], "&lt;14")</f>
        <v>0</v>
      </c>
      <c r="C201" s="78" t="s">
        <v>485</v>
      </c>
      <c r="D201" s="78" t="s">
        <v>222</v>
      </c>
      <c r="E201" s="237"/>
    </row>
    <row r="202" spans="1:5">
      <c r="A202" s="231"/>
      <c r="B202" s="175">
        <f>COUNTIFS(Table1[Gender], "Male", Table1[Race], "Black or African American", Table1[Age], "&gt;=14")</f>
        <v>0</v>
      </c>
      <c r="C202" s="79" t="s">
        <v>486</v>
      </c>
      <c r="D202" s="79" t="s">
        <v>222</v>
      </c>
      <c r="E202" s="237"/>
    </row>
    <row r="203" spans="1:5">
      <c r="A203" s="231"/>
      <c r="B203" s="175">
        <f>COUNTIFS(Table1[Gender], "Female", Table1[Race], "Black or African American", Table1[Age], "&gt;=14")</f>
        <v>0</v>
      </c>
      <c r="C203" s="78" t="s">
        <v>487</v>
      </c>
      <c r="D203" s="78" t="s">
        <v>222</v>
      </c>
      <c r="E203" s="237"/>
    </row>
    <row r="204" spans="1:5">
      <c r="A204" s="231"/>
      <c r="B204" s="175">
        <f>COUNTIFS(Table1[Gender], "Non-Binary/Other", Table1[Race], "Black or African American", Table1[Age], "&gt;=14")</f>
        <v>0</v>
      </c>
      <c r="C204" s="79" t="s">
        <v>488</v>
      </c>
      <c r="D204" s="79" t="s">
        <v>222</v>
      </c>
      <c r="E204" s="237"/>
    </row>
    <row r="205" spans="1:5">
      <c r="A205" s="231"/>
      <c r="B205" s="175">
        <f>COUNTIFS(Table1[Gender], "Male", Table1[Race], "Hispanic", Table1[Age], "&lt;=10")</f>
        <v>0</v>
      </c>
      <c r="C205" s="78" t="s">
        <v>489</v>
      </c>
      <c r="D205" s="78" t="s">
        <v>222</v>
      </c>
      <c r="E205" s="237"/>
    </row>
    <row r="206" spans="1:5">
      <c r="A206" s="231"/>
      <c r="B206" s="175">
        <f>COUNTIFS(Table1[Gender], "Female", Table1[Race], "Hispanic", Table1[Age], "&lt;=10")</f>
        <v>0</v>
      </c>
      <c r="C206" s="79" t="s">
        <v>490</v>
      </c>
      <c r="D206" s="79" t="s">
        <v>222</v>
      </c>
      <c r="E206" s="237"/>
    </row>
    <row r="207" spans="1:5">
      <c r="A207" s="231"/>
      <c r="B207" s="175">
        <f>COUNTIFS(Table1[Gender], "Non-Binary/Other", Table1[Race], "Hispanic", Table1[Age], "&lt;=10")</f>
        <v>0</v>
      </c>
      <c r="C207" s="78" t="s">
        <v>491</v>
      </c>
      <c r="D207" s="78" t="s">
        <v>222</v>
      </c>
      <c r="E207" s="237"/>
    </row>
    <row r="208" spans="1:5">
      <c r="A208" s="231"/>
      <c r="B208" s="175">
        <f>COUNTIFS(Table1[Gender], "Male", Table1[Race], "Hispanic", Table1[Age], "&gt;10", Table1[Age], "&lt;14")</f>
        <v>0</v>
      </c>
      <c r="C208" s="79" t="s">
        <v>492</v>
      </c>
      <c r="D208" s="79" t="s">
        <v>222</v>
      </c>
      <c r="E208" s="237"/>
    </row>
    <row r="209" spans="1:5">
      <c r="A209" s="231"/>
      <c r="B209" s="175">
        <f>COUNTIFS(Table1[Gender], "Female", Table1[Race], "Hispanic", Table1[Age], "&gt;10", Table1[Age], "&lt;14")</f>
        <v>0</v>
      </c>
      <c r="C209" s="78" t="s">
        <v>493</v>
      </c>
      <c r="D209" s="78" t="s">
        <v>222</v>
      </c>
      <c r="E209" s="237"/>
    </row>
    <row r="210" spans="1:5">
      <c r="A210" s="231"/>
      <c r="B210" s="175">
        <f>COUNTIFS(Table1[Gender], "Non-Binary/Other", Table1[Race], "Hispanic", Table1[Age], "&gt;10", Table1[Age], "&lt;14")</f>
        <v>0</v>
      </c>
      <c r="C210" s="79" t="s">
        <v>494</v>
      </c>
      <c r="D210" s="79" t="s">
        <v>222</v>
      </c>
      <c r="E210" s="237"/>
    </row>
    <row r="211" spans="1:5">
      <c r="A211" s="231"/>
      <c r="B211" s="175">
        <f>COUNTIFS(Table1[Gender], "Male", Table1[Race], "Hispanic", Table1[Age], "&gt;=14")</f>
        <v>0</v>
      </c>
      <c r="C211" s="78" t="s">
        <v>495</v>
      </c>
      <c r="D211" s="78" t="s">
        <v>222</v>
      </c>
      <c r="E211" s="237"/>
    </row>
    <row r="212" spans="1:5">
      <c r="A212" s="231"/>
      <c r="B212" s="175">
        <f>COUNTIFS(Table1[Gender], "Female", Table1[Race], "Hispanic", Table1[Age], "&gt;=14")</f>
        <v>0</v>
      </c>
      <c r="C212" s="79" t="s">
        <v>496</v>
      </c>
      <c r="D212" s="79" t="s">
        <v>222</v>
      </c>
      <c r="E212" s="237"/>
    </row>
    <row r="213" spans="1:5">
      <c r="A213" s="231"/>
      <c r="B213" s="175">
        <f>COUNTIFS(Table1[Gender], "Non-Binary/Other", Table1[Race], "Hispanic", Table1[Age], "&gt;=14")</f>
        <v>0</v>
      </c>
      <c r="C213" s="78" t="s">
        <v>497</v>
      </c>
      <c r="D213" s="78" t="s">
        <v>222</v>
      </c>
      <c r="E213" s="237"/>
    </row>
    <row r="214" spans="1:5">
      <c r="A214" s="231"/>
      <c r="B214" s="175">
        <f>COUNTIFS(Table1[Gender], "Male", Table1[Race], "Asian", Table1[Age], "&lt;=10")</f>
        <v>0</v>
      </c>
      <c r="C214" s="79" t="s">
        <v>498</v>
      </c>
      <c r="D214" s="79" t="s">
        <v>222</v>
      </c>
      <c r="E214" s="237"/>
    </row>
    <row r="215" spans="1:5">
      <c r="A215" s="231"/>
      <c r="B215" s="175">
        <f>COUNTIFS(Table1[Gender], "Female", Table1[Race], "Asian", Table1[Age], "&lt;=10")</f>
        <v>0</v>
      </c>
      <c r="C215" s="78" t="s">
        <v>499</v>
      </c>
      <c r="D215" s="78" t="s">
        <v>222</v>
      </c>
      <c r="E215" s="237"/>
    </row>
    <row r="216" spans="1:5">
      <c r="A216" s="231"/>
      <c r="B216" s="175">
        <f>COUNTIFS(Table1[Gender], "Non-Binary/Other", Table1[Race], "Asian", Table1[Age], "&lt;=10")</f>
        <v>0</v>
      </c>
      <c r="C216" s="79" t="s">
        <v>500</v>
      </c>
      <c r="D216" s="79" t="s">
        <v>222</v>
      </c>
      <c r="E216" s="237"/>
    </row>
    <row r="217" spans="1:5">
      <c r="A217" s="231"/>
      <c r="B217" s="175">
        <f>COUNTIFS(Table1[Gender], "Male", Table1[Race], "Asian", Table1[Age], "&gt;10", Table1[Age], "&lt;14")</f>
        <v>0</v>
      </c>
      <c r="C217" s="78" t="s">
        <v>501</v>
      </c>
      <c r="D217" s="78" t="s">
        <v>222</v>
      </c>
      <c r="E217" s="237"/>
    </row>
    <row r="218" spans="1:5">
      <c r="A218" s="231"/>
      <c r="B218" s="175">
        <f>COUNTIFS(Table1[Gender], "Female", Table1[Race], "Asian", Table1[Age], "&gt;10", Table1[Age], "&lt;14")</f>
        <v>0</v>
      </c>
      <c r="C218" s="79" t="s">
        <v>502</v>
      </c>
      <c r="D218" s="79" t="s">
        <v>222</v>
      </c>
      <c r="E218" s="237"/>
    </row>
    <row r="219" spans="1:5">
      <c r="A219" s="231"/>
      <c r="B219" s="175">
        <f>COUNTIFS(Table1[Gender], "Non-Binary/Other", Table1[Race], "Asian", Table1[Age], "&gt;10", Table1[Age], "&lt;14")</f>
        <v>0</v>
      </c>
      <c r="C219" s="78" t="s">
        <v>503</v>
      </c>
      <c r="D219" s="78" t="s">
        <v>222</v>
      </c>
      <c r="E219" s="237"/>
    </row>
    <row r="220" spans="1:5">
      <c r="A220" s="231"/>
      <c r="B220" s="175">
        <f>COUNTIFS(Table1[Gender], "Male", Table1[Race], "Asian", Table1[Age], "&gt;=14")</f>
        <v>0</v>
      </c>
      <c r="C220" s="79" t="s">
        <v>504</v>
      </c>
      <c r="D220" s="79" t="s">
        <v>222</v>
      </c>
      <c r="E220" s="237"/>
    </row>
    <row r="221" spans="1:5">
      <c r="A221" s="231"/>
      <c r="B221" s="175">
        <f>COUNTIFS(Table1[Gender], "Female", Table1[Race], "Asian", Table1[Age], "&gt;=14")</f>
        <v>0</v>
      </c>
      <c r="C221" s="78" t="s">
        <v>505</v>
      </c>
      <c r="D221" s="78" t="s">
        <v>222</v>
      </c>
      <c r="E221" s="237"/>
    </row>
    <row r="222" spans="1:5">
      <c r="A222" s="231"/>
      <c r="B222" s="175">
        <f>COUNTIFS(Table1[Gender], "Non-Binary/Other", Table1[Race], "Asian", Table1[Age], "&gt;=14")</f>
        <v>0</v>
      </c>
      <c r="C222" s="79" t="s">
        <v>506</v>
      </c>
      <c r="D222" s="79" t="s">
        <v>222</v>
      </c>
      <c r="E222" s="237"/>
    </row>
    <row r="223" spans="1:5">
      <c r="A223" s="231"/>
      <c r="B223" s="175">
        <f>COUNTIFS(Table1[Gender], "Male", Table1[Race], "American Indian/Alaskan Native", Table1[Age], "&lt;=10")</f>
        <v>0</v>
      </c>
      <c r="C223" s="78" t="s">
        <v>507</v>
      </c>
      <c r="D223" s="78" t="s">
        <v>222</v>
      </c>
      <c r="E223" s="237"/>
    </row>
    <row r="224" spans="1:5">
      <c r="A224" s="231"/>
      <c r="B224" s="175">
        <f>COUNTIFS(Table1[Gender], "Female", Table1[Race], "American Indian/Alaskan Native", Table1[Age], "&lt;=10")</f>
        <v>0</v>
      </c>
      <c r="C224" s="79" t="s">
        <v>508</v>
      </c>
      <c r="D224" s="79" t="s">
        <v>222</v>
      </c>
      <c r="E224" s="237"/>
    </row>
    <row r="225" spans="1:5">
      <c r="A225" s="231"/>
      <c r="B225" s="175">
        <f>COUNTIFS(Table1[Gender], "Non-Binary/Other", Table1[Race], "American Indian/Alaskan Native", Table1[Age], "&lt;=10")</f>
        <v>0</v>
      </c>
      <c r="C225" s="78" t="s">
        <v>509</v>
      </c>
      <c r="D225" s="78" t="s">
        <v>222</v>
      </c>
      <c r="E225" s="237"/>
    </row>
    <row r="226" spans="1:5">
      <c r="A226" s="231"/>
      <c r="B226" s="175">
        <f>COUNTIFS(Table1[Gender], "Male", Table1[Race], "American Indian/Alaskan Native", Table1[Age], "&gt;10", Table1[Age], "&lt;14")</f>
        <v>0</v>
      </c>
      <c r="C226" s="79" t="s">
        <v>510</v>
      </c>
      <c r="D226" s="79" t="s">
        <v>222</v>
      </c>
      <c r="E226" s="237"/>
    </row>
    <row r="227" spans="1:5">
      <c r="A227" s="231"/>
      <c r="B227" s="175">
        <f>COUNTIFS(Table1[Gender], "Female", Table1[Race], "American Indian/Alaskan Native", Table1[Age], "&gt;10", Table1[Age], "&lt;14")</f>
        <v>0</v>
      </c>
      <c r="C227" s="78" t="s">
        <v>511</v>
      </c>
      <c r="D227" s="78" t="s">
        <v>222</v>
      </c>
      <c r="E227" s="237"/>
    </row>
    <row r="228" spans="1:5">
      <c r="A228" s="231"/>
      <c r="B228" s="175">
        <f>COUNTIFS(Table1[Gender], "Non-Binary/Other", Table1[Race], "American Indian/Alaskan Native", Table1[Age], "&gt;10", Table1[Age], "&lt;14")</f>
        <v>0</v>
      </c>
      <c r="C228" s="79" t="s">
        <v>512</v>
      </c>
      <c r="D228" s="79" t="s">
        <v>222</v>
      </c>
      <c r="E228" s="237"/>
    </row>
    <row r="229" spans="1:5">
      <c r="A229" s="231"/>
      <c r="B229" s="175">
        <f>COUNTIFS(Table1[Gender], "Male", Table1[Race], "American Indian/Alaskan Native", Table1[Age], "&gt;=14")</f>
        <v>0</v>
      </c>
      <c r="C229" s="78" t="s">
        <v>513</v>
      </c>
      <c r="D229" s="78" t="s">
        <v>222</v>
      </c>
      <c r="E229" s="237"/>
    </row>
    <row r="230" spans="1:5">
      <c r="A230" s="231"/>
      <c r="B230" s="175">
        <f>COUNTIFS(Table1[Gender], "Female", Table1[Race], "American Indian/Alaskan Native", Table1[Age], "&gt;=14")</f>
        <v>0</v>
      </c>
      <c r="C230" s="79" t="s">
        <v>514</v>
      </c>
      <c r="D230" s="79" t="s">
        <v>222</v>
      </c>
      <c r="E230" s="237"/>
    </row>
    <row r="231" spans="1:5">
      <c r="A231" s="231"/>
      <c r="B231" s="175">
        <f>COUNTIFS(Table1[Gender], "Non-Binary/Other", Table1[Race], "American Indian/Alaskan Native", Table1[Age], "&gt;=14")</f>
        <v>0</v>
      </c>
      <c r="C231" s="78" t="s">
        <v>515</v>
      </c>
      <c r="D231" s="78" t="s">
        <v>222</v>
      </c>
      <c r="E231" s="237"/>
    </row>
    <row r="232" spans="1:5">
      <c r="A232" s="231"/>
      <c r="B232" s="175">
        <f>COUNTIFS(Table1[Gender], "Male", Table1[Race], "Multi-Racial", Table1[Age], "&lt;=10")</f>
        <v>0</v>
      </c>
      <c r="C232" s="79" t="s">
        <v>516</v>
      </c>
      <c r="D232" s="79" t="s">
        <v>222</v>
      </c>
      <c r="E232" s="237"/>
    </row>
    <row r="233" spans="1:5">
      <c r="A233" s="231"/>
      <c r="B233" s="175">
        <f>COUNTIFS(Table1[Gender], "Female", Table1[Race], "Multi-Racial", Table1[Age], "&lt;=10")</f>
        <v>0</v>
      </c>
      <c r="C233" s="78" t="s">
        <v>517</v>
      </c>
      <c r="D233" s="78" t="s">
        <v>222</v>
      </c>
      <c r="E233" s="237"/>
    </row>
    <row r="234" spans="1:5">
      <c r="A234" s="231"/>
      <c r="B234" s="175">
        <f>COUNTIFS(Table1[Gender], "Non-Binary/Other", Table1[Race], "Multi-Racial", Table1[Age], "&lt;=10")</f>
        <v>0</v>
      </c>
      <c r="C234" s="79" t="s">
        <v>518</v>
      </c>
      <c r="D234" s="79" t="s">
        <v>222</v>
      </c>
      <c r="E234" s="237"/>
    </row>
    <row r="235" spans="1:5">
      <c r="A235" s="231"/>
      <c r="B235" s="175">
        <f>COUNTIFS(Table1[Gender], "Male", Table1[Race], "Multi-Racial", Table1[Age], "&gt;10", Table1[Age], "&lt;14")</f>
        <v>0</v>
      </c>
      <c r="C235" s="78" t="s">
        <v>519</v>
      </c>
      <c r="D235" s="78" t="s">
        <v>222</v>
      </c>
      <c r="E235" s="237"/>
    </row>
    <row r="236" spans="1:5">
      <c r="A236" s="231"/>
      <c r="B236" s="175">
        <f>COUNTIFS(Table1[Gender], "Female", Table1[Race], "Multi-Racial", Table1[Age], "&gt;10", Table1[Age], "&lt;14")</f>
        <v>0</v>
      </c>
      <c r="C236" s="79" t="s">
        <v>520</v>
      </c>
      <c r="D236" s="79" t="s">
        <v>222</v>
      </c>
      <c r="E236" s="237"/>
    </row>
    <row r="237" spans="1:5">
      <c r="A237" s="231"/>
      <c r="B237" s="175">
        <f>COUNTIFS(Table1[Gender], "Non-Binary/Other", Table1[Race], "Multi-Racial", Table1[Age], "&gt;10", Table1[Age], "&lt;14")</f>
        <v>0</v>
      </c>
      <c r="C237" s="78" t="s">
        <v>521</v>
      </c>
      <c r="D237" s="78" t="s">
        <v>222</v>
      </c>
      <c r="E237" s="237"/>
    </row>
    <row r="238" spans="1:5">
      <c r="A238" s="231"/>
      <c r="B238" s="175">
        <f>COUNTIFS(Table1[Gender], "Male", Table1[Race], "Multi-Racial", Table1[Age], "&gt;=14")</f>
        <v>0</v>
      </c>
      <c r="C238" s="79" t="s">
        <v>522</v>
      </c>
      <c r="D238" s="79" t="s">
        <v>222</v>
      </c>
      <c r="E238" s="237"/>
    </row>
    <row r="239" spans="1:5">
      <c r="A239" s="231"/>
      <c r="B239" s="175">
        <f>COUNTIFS(Table1[Gender], "Female", Table1[Race], "Multi-Racial", Table1[Age], "&gt;=14")</f>
        <v>0</v>
      </c>
      <c r="C239" s="78" t="s">
        <v>523</v>
      </c>
      <c r="D239" s="78" t="s">
        <v>222</v>
      </c>
      <c r="E239" s="237"/>
    </row>
    <row r="240" spans="1:5">
      <c r="A240" s="231"/>
      <c r="B240" s="175">
        <f>COUNTIFS(Table1[Gender], "Non-Binary/Other", Table1[Race], "Multi-Racial", Table1[Age], "&gt;=14")</f>
        <v>0</v>
      </c>
      <c r="C240" s="79" t="s">
        <v>524</v>
      </c>
      <c r="D240" s="79" t="s">
        <v>222</v>
      </c>
      <c r="E240" s="237"/>
    </row>
    <row r="241" spans="1:5">
      <c r="A241" s="231"/>
      <c r="B241" s="175">
        <f>COUNTIFS(Table1[Gender], "Male", Table1[Race], "Native Hawaiian or Other Pacific Islander", Table1[Age], "&lt;=10")</f>
        <v>0</v>
      </c>
      <c r="C241" s="78" t="s">
        <v>525</v>
      </c>
      <c r="D241" s="78" t="s">
        <v>222</v>
      </c>
      <c r="E241" s="237"/>
    </row>
    <row r="242" spans="1:5">
      <c r="A242" s="231"/>
      <c r="B242" s="175">
        <f>COUNTIFS(Table1[Gender], "Female", Table1[Race], "Native Hawaiian or Other Pacific Islander", Table1[Age], "&lt;=10")</f>
        <v>0</v>
      </c>
      <c r="C242" s="79" t="s">
        <v>526</v>
      </c>
      <c r="D242" s="79" t="s">
        <v>222</v>
      </c>
      <c r="E242" s="237"/>
    </row>
    <row r="243" spans="1:5">
      <c r="A243" s="231"/>
      <c r="B243" s="175">
        <f>COUNTIFS(Table1[Gender], "Non-Binary/Other", Table1[Race], "Native Hawaiian or Other Pacific Islander", Table1[Age], "&lt;=10")</f>
        <v>0</v>
      </c>
      <c r="C243" s="78" t="s">
        <v>527</v>
      </c>
      <c r="D243" s="78" t="s">
        <v>222</v>
      </c>
      <c r="E243" s="237"/>
    </row>
    <row r="244" spans="1:5">
      <c r="A244" s="231"/>
      <c r="B244" s="175">
        <f>COUNTIFS(Table1[Gender], "Male", Table1[Race], "Native Hawaiian or Other Pacific Islander", Table1[Age], "&gt;10", Table1[Age], "&lt;14")</f>
        <v>0</v>
      </c>
      <c r="C244" s="79" t="s">
        <v>528</v>
      </c>
      <c r="D244" s="79" t="s">
        <v>222</v>
      </c>
      <c r="E244" s="237"/>
    </row>
    <row r="245" spans="1:5">
      <c r="A245" s="231"/>
      <c r="B245" s="175">
        <f>COUNTIFS(Table1[Gender], "Female", Table1[Race], "Native Hawaiian or Other Pacific Islander", Table1[Age], "&gt;10", Table1[Age], "&lt;14")</f>
        <v>0</v>
      </c>
      <c r="C245" s="78" t="s">
        <v>529</v>
      </c>
      <c r="D245" s="78" t="s">
        <v>222</v>
      </c>
      <c r="E245" s="237"/>
    </row>
    <row r="246" spans="1:5">
      <c r="A246" s="231"/>
      <c r="B246" s="175">
        <f>COUNTIFS(Table1[Gender], "Non-Binary/Other", Table1[Race], "Native Hawaiian or Other Pacific Islander", Table1[Age], "&gt;10", Table1[Age], "&lt;14")</f>
        <v>0</v>
      </c>
      <c r="C246" s="79" t="s">
        <v>530</v>
      </c>
      <c r="D246" s="79" t="s">
        <v>222</v>
      </c>
      <c r="E246" s="237"/>
    </row>
    <row r="247" spans="1:5">
      <c r="A247" s="231"/>
      <c r="B247" s="175">
        <f>COUNTIFS(Table1[Gender], "Male", Table1[Race], "Native Hawaiian or Other Pacific Islander", Table1[Age], "&gt;=14")</f>
        <v>0</v>
      </c>
      <c r="C247" s="78" t="s">
        <v>531</v>
      </c>
      <c r="D247" s="78" t="s">
        <v>222</v>
      </c>
      <c r="E247" s="237"/>
    </row>
    <row r="248" spans="1:5">
      <c r="A248" s="231"/>
      <c r="B248" s="175">
        <f>COUNTIFS(Table1[Gender], "Female", Table1[Race], "Native Hawaiian or Other Pacific Islander", Table1[Age], "&gt;=14")</f>
        <v>0</v>
      </c>
      <c r="C248" s="79" t="s">
        <v>532</v>
      </c>
      <c r="D248" s="79" t="s">
        <v>222</v>
      </c>
      <c r="E248" s="237"/>
    </row>
    <row r="249" spans="1:5">
      <c r="A249" s="231"/>
      <c r="B249" s="175">
        <f>COUNTIFS(Table1[Gender], "Non-Binary/Other", Table1[Race], "Native Hawaiian or Other Pacific Islander", Table1[Age], "&gt;=14")</f>
        <v>0</v>
      </c>
      <c r="C249" s="78" t="s">
        <v>533</v>
      </c>
      <c r="D249" s="78" t="s">
        <v>222</v>
      </c>
      <c r="E249" s="237"/>
    </row>
    <row r="250" spans="1:5" ht="21.75" thickBot="1">
      <c r="A250" s="308" t="s">
        <v>310</v>
      </c>
      <c r="B250" s="309"/>
      <c r="C250" s="309"/>
      <c r="D250" s="309"/>
      <c r="E250" s="310"/>
    </row>
    <row r="251" spans="1:5">
      <c r="A251" s="231" t="s">
        <v>534</v>
      </c>
      <c r="B251" s="175"/>
      <c r="C251" s="78" t="s">
        <v>535</v>
      </c>
      <c r="D251" s="151" t="s">
        <v>222</v>
      </c>
      <c r="E251" s="233" t="s">
        <v>536</v>
      </c>
    </row>
    <row r="252" spans="1:5">
      <c r="A252" s="231"/>
      <c r="B252" s="175"/>
      <c r="C252" s="79" t="s">
        <v>537</v>
      </c>
      <c r="D252" s="152" t="s">
        <v>222</v>
      </c>
      <c r="E252" s="234"/>
    </row>
    <row r="253" spans="1:5" ht="24" thickBot="1">
      <c r="A253" s="231"/>
      <c r="B253" s="175"/>
      <c r="C253" s="78" t="s">
        <v>538</v>
      </c>
      <c r="D253" s="151" t="s">
        <v>222</v>
      </c>
      <c r="E253" s="235"/>
    </row>
    <row r="254" spans="1:5">
      <c r="A254" s="231"/>
      <c r="B254" s="175"/>
      <c r="C254" s="79" t="s">
        <v>539</v>
      </c>
      <c r="D254" s="152" t="s">
        <v>222</v>
      </c>
      <c r="E254" s="233" t="s">
        <v>540</v>
      </c>
    </row>
    <row r="255" spans="1:5">
      <c r="A255" s="231"/>
      <c r="B255" s="175"/>
      <c r="C255" s="78" t="s">
        <v>541</v>
      </c>
      <c r="D255" s="151" t="s">
        <v>222</v>
      </c>
      <c r="E255" s="234"/>
    </row>
    <row r="256" spans="1:5" ht="24" thickBot="1">
      <c r="A256" s="231"/>
      <c r="B256" s="175"/>
      <c r="C256" s="79" t="s">
        <v>542</v>
      </c>
      <c r="D256" s="152" t="s">
        <v>222</v>
      </c>
      <c r="E256" s="235"/>
    </row>
    <row r="257" spans="1:5">
      <c r="A257" s="231"/>
      <c r="B257" s="175"/>
      <c r="C257" s="176" t="s">
        <v>543</v>
      </c>
      <c r="D257" s="177" t="s">
        <v>222</v>
      </c>
      <c r="E257" s="311" t="s">
        <v>544</v>
      </c>
    </row>
    <row r="258" spans="1:5">
      <c r="A258" s="231"/>
      <c r="B258" s="175"/>
      <c r="C258" s="79" t="s">
        <v>545</v>
      </c>
      <c r="D258" s="152" t="s">
        <v>222</v>
      </c>
      <c r="E258" s="312"/>
    </row>
    <row r="259" spans="1:5" ht="24" thickBot="1">
      <c r="A259" s="231"/>
      <c r="B259" s="175"/>
      <c r="C259" s="176" t="s">
        <v>546</v>
      </c>
      <c r="D259" s="177" t="s">
        <v>222</v>
      </c>
      <c r="E259" s="313"/>
    </row>
    <row r="260" spans="1:5" ht="21.75" thickBot="1">
      <c r="A260" s="308" t="s">
        <v>322</v>
      </c>
      <c r="B260" s="309"/>
      <c r="C260" s="309"/>
      <c r="D260" s="309"/>
      <c r="E260" s="310"/>
    </row>
    <row r="261" spans="1:5">
      <c r="A261" s="229" t="s">
        <v>547</v>
      </c>
      <c r="B261" s="178"/>
      <c r="C261" s="176" t="s">
        <v>548</v>
      </c>
      <c r="D261" s="177" t="s">
        <v>222</v>
      </c>
      <c r="E261" s="233" t="s">
        <v>549</v>
      </c>
    </row>
    <row r="262" spans="1:5">
      <c r="A262" s="230"/>
      <c r="B262" s="179"/>
      <c r="C262" s="79" t="s">
        <v>550</v>
      </c>
      <c r="D262" s="152" t="s">
        <v>222</v>
      </c>
      <c r="E262" s="234"/>
    </row>
    <row r="263" spans="1:5" ht="24" thickBot="1">
      <c r="A263" s="230"/>
      <c r="B263" s="179"/>
      <c r="C263" s="176" t="s">
        <v>551</v>
      </c>
      <c r="D263" s="177" t="s">
        <v>222</v>
      </c>
      <c r="E263" s="235"/>
    </row>
    <row r="264" spans="1:5">
      <c r="A264" s="230"/>
      <c r="B264" s="179"/>
      <c r="C264" s="79" t="s">
        <v>552</v>
      </c>
      <c r="D264" s="152" t="s">
        <v>222</v>
      </c>
      <c r="E264" s="233" t="s">
        <v>553</v>
      </c>
    </row>
    <row r="265" spans="1:5">
      <c r="A265" s="230"/>
      <c r="B265" s="179"/>
      <c r="C265" s="176" t="s">
        <v>554</v>
      </c>
      <c r="D265" s="177" t="s">
        <v>222</v>
      </c>
      <c r="E265" s="234"/>
    </row>
    <row r="266" spans="1:5" ht="24" thickBot="1">
      <c r="A266" s="230"/>
      <c r="B266" s="179"/>
      <c r="C266" s="79" t="s">
        <v>555</v>
      </c>
      <c r="D266" s="152" t="s">
        <v>222</v>
      </c>
      <c r="E266" s="235"/>
    </row>
    <row r="267" spans="1:5">
      <c r="A267" s="230"/>
      <c r="B267" s="179"/>
      <c r="C267" s="176" t="s">
        <v>556</v>
      </c>
      <c r="D267" s="177" t="s">
        <v>222</v>
      </c>
      <c r="E267" s="233" t="s">
        <v>557</v>
      </c>
    </row>
    <row r="268" spans="1:5">
      <c r="A268" s="230"/>
      <c r="B268" s="179"/>
      <c r="C268" s="79" t="s">
        <v>558</v>
      </c>
      <c r="D268" s="152" t="s">
        <v>222</v>
      </c>
      <c r="E268" s="234"/>
    </row>
    <row r="269" spans="1:5">
      <c r="A269" s="230"/>
      <c r="B269" s="179"/>
      <c r="C269" s="180" t="s">
        <v>559</v>
      </c>
      <c r="D269" s="181" t="s">
        <v>222</v>
      </c>
      <c r="E269" s="342"/>
    </row>
    <row r="270" spans="1:5" ht="21.75" thickBot="1">
      <c r="A270" s="269" t="s">
        <v>560</v>
      </c>
      <c r="B270" s="344"/>
      <c r="C270" s="269"/>
      <c r="D270" s="269"/>
      <c r="E270" s="343"/>
    </row>
    <row r="271" spans="1:5">
      <c r="A271" s="223" t="s">
        <v>561</v>
      </c>
      <c r="B271" s="182">
        <f>COUNTIFS(Table361034[Age], "&lt;=10", Table361034[Service Accessed 1], "Yes")</f>
        <v>0</v>
      </c>
      <c r="C271" s="176" t="s">
        <v>562</v>
      </c>
      <c r="D271" s="177" t="s">
        <v>222</v>
      </c>
      <c r="E271" s="311" t="s">
        <v>563</v>
      </c>
    </row>
    <row r="272" spans="1:5">
      <c r="A272" s="224"/>
      <c r="B272" s="182">
        <f>COUNTIFS(Table361034[Age], "&lt;=10", Table361034[Service Accessed 1], "No")</f>
        <v>0</v>
      </c>
      <c r="C272" s="79" t="s">
        <v>564</v>
      </c>
      <c r="D272" s="152" t="s">
        <v>222</v>
      </c>
      <c r="E272" s="312"/>
    </row>
    <row r="273" spans="1:5">
      <c r="A273" s="224"/>
      <c r="B273" s="182">
        <f>COUNTIFS(Table361034[Age], "&lt;=10", Table361034[Service Accessed 1], "Don't Know")</f>
        <v>0</v>
      </c>
      <c r="C273" s="176" t="s">
        <v>565</v>
      </c>
      <c r="D273" s="177" t="s">
        <v>222</v>
      </c>
      <c r="E273" s="312"/>
    </row>
    <row r="274" spans="1:5">
      <c r="A274" s="224"/>
      <c r="B274" s="182">
        <f>COUNTIFS(Table361034[Age], "&lt;=10", Table361034[Service Accessed 2], "Yes")</f>
        <v>0</v>
      </c>
      <c r="C274" s="79" t="s">
        <v>566</v>
      </c>
      <c r="D274" s="152" t="s">
        <v>222</v>
      </c>
      <c r="E274" s="312"/>
    </row>
    <row r="275" spans="1:5">
      <c r="A275" s="224"/>
      <c r="B275" s="182">
        <f>COUNTIFS(Table361034[Age], "&lt;=10", Table361034[Service Accessed 2], "No")</f>
        <v>0</v>
      </c>
      <c r="C275" s="176" t="s">
        <v>567</v>
      </c>
      <c r="D275" s="177" t="s">
        <v>222</v>
      </c>
      <c r="E275" s="312"/>
    </row>
    <row r="276" spans="1:5">
      <c r="A276" s="224"/>
      <c r="B276" s="182">
        <f>COUNTIFS(Table361034[Age], "&lt;=10", Table361034[Service Accessed 2], "Don't Know")</f>
        <v>0</v>
      </c>
      <c r="C276" s="79" t="s">
        <v>568</v>
      </c>
      <c r="D276" s="152" t="s">
        <v>222</v>
      </c>
      <c r="E276" s="312"/>
    </row>
    <row r="277" spans="1:5">
      <c r="A277" s="224"/>
      <c r="B277" s="182">
        <f>COUNTIFS(Table361034[Age], "&lt;=10", Table361034[Service Accessed 3], "Yes")</f>
        <v>0</v>
      </c>
      <c r="C277" s="176" t="s">
        <v>569</v>
      </c>
      <c r="D277" s="177" t="s">
        <v>222</v>
      </c>
      <c r="E277" s="312"/>
    </row>
    <row r="278" spans="1:5">
      <c r="A278" s="224"/>
      <c r="B278" s="182">
        <f>COUNTIFS(Table361034[Age], "&lt;=10", Table361034[Service Accessed 3], "No")</f>
        <v>0</v>
      </c>
      <c r="C278" s="79" t="s">
        <v>570</v>
      </c>
      <c r="D278" s="152" t="s">
        <v>222</v>
      </c>
      <c r="E278" s="312"/>
    </row>
    <row r="279" spans="1:5">
      <c r="A279" s="224"/>
      <c r="B279" s="182">
        <f>COUNTIFS(Table361034[Age], "&lt;=10", Table361034[Service Accessed 3], "Don't Know")</f>
        <v>0</v>
      </c>
      <c r="C279" s="176" t="s">
        <v>571</v>
      </c>
      <c r="D279" s="177" t="s">
        <v>222</v>
      </c>
      <c r="E279" s="312"/>
    </row>
    <row r="280" spans="1:5">
      <c r="A280" s="224"/>
      <c r="B280" s="182">
        <f>COUNTIFS(Table361034[Age], "&lt;=10", Table361034[Service Accessed 4], "Yes")</f>
        <v>0</v>
      </c>
      <c r="C280" s="79" t="s">
        <v>572</v>
      </c>
      <c r="D280" s="152" t="s">
        <v>222</v>
      </c>
      <c r="E280" s="312"/>
    </row>
    <row r="281" spans="1:5">
      <c r="A281" s="224"/>
      <c r="B281" s="182">
        <f>COUNTIFS(Table361034[Age], "&lt;=10", Table361034[Service Accessed 4], "No")</f>
        <v>0</v>
      </c>
      <c r="C281" s="176" t="s">
        <v>573</v>
      </c>
      <c r="D281" s="177" t="s">
        <v>222</v>
      </c>
      <c r="E281" s="312"/>
    </row>
    <row r="282" spans="1:5">
      <c r="A282" s="224"/>
      <c r="B282" s="182">
        <f>COUNTIFS(Table361034[Age], "&lt;=10", Table361034[Service Accessed 4], "Don't Know")</f>
        <v>0</v>
      </c>
      <c r="C282" s="79" t="s">
        <v>574</v>
      </c>
      <c r="D282" s="152" t="s">
        <v>222</v>
      </c>
      <c r="E282" s="312"/>
    </row>
    <row r="283" spans="1:5">
      <c r="A283" s="224"/>
      <c r="B283" s="182">
        <f>COUNTIFS(Table361034[Age], "&lt;=10", Table361034[Service Accessed 5], "Yes")</f>
        <v>0</v>
      </c>
      <c r="C283" s="176" t="s">
        <v>575</v>
      </c>
      <c r="D283" s="177" t="s">
        <v>222</v>
      </c>
      <c r="E283" s="312"/>
    </row>
    <row r="284" spans="1:5">
      <c r="A284" s="224"/>
      <c r="B284" s="182">
        <f>COUNTIFS(Table361034[Age], "&lt;=10", Table361034[Service Accessed 5], "No")</f>
        <v>0</v>
      </c>
      <c r="C284" s="79" t="s">
        <v>576</v>
      </c>
      <c r="D284" s="152" t="s">
        <v>222</v>
      </c>
      <c r="E284" s="312"/>
    </row>
    <row r="285" spans="1:5">
      <c r="A285" s="224"/>
      <c r="B285" s="182">
        <f>COUNTIFS(Table361034[Age], "&lt;=10", Table361034[Service Accessed 5], "Don't Know")</f>
        <v>0</v>
      </c>
      <c r="C285" s="176" t="s">
        <v>577</v>
      </c>
      <c r="D285" s="177" t="s">
        <v>222</v>
      </c>
      <c r="E285" s="312"/>
    </row>
    <row r="286" spans="1:5">
      <c r="A286" s="224"/>
      <c r="B286" s="183">
        <f>COUNTIFS(Table361037[Age], "&lt;=10", Table361037[Service Accessed 1], "Yes")</f>
        <v>0</v>
      </c>
      <c r="C286" s="79" t="s">
        <v>578</v>
      </c>
      <c r="D286" s="152" t="s">
        <v>222</v>
      </c>
      <c r="E286" s="312"/>
    </row>
    <row r="287" spans="1:5">
      <c r="A287" s="224"/>
      <c r="B287" s="183">
        <f>COUNTIFS(Table361037[Age], "&lt;=10", Table361037[Service Accessed 1], "No")</f>
        <v>0</v>
      </c>
      <c r="C287" s="176" t="s">
        <v>579</v>
      </c>
      <c r="D287" s="177" t="s">
        <v>222</v>
      </c>
      <c r="E287" s="312"/>
    </row>
    <row r="288" spans="1:5">
      <c r="A288" s="224"/>
      <c r="B288" s="183">
        <f>COUNTIFS(Table361037[Age], "&lt;=10", Table361037[Service Accessed 1], "Don't Know")</f>
        <v>0</v>
      </c>
      <c r="C288" s="79" t="s">
        <v>580</v>
      </c>
      <c r="D288" s="152" t="s">
        <v>222</v>
      </c>
      <c r="E288" s="312"/>
    </row>
    <row r="289" spans="1:5">
      <c r="A289" s="224"/>
      <c r="B289" s="183">
        <f>COUNTIFS(Table361037[Age], "&lt;=10", Table361037[Service Accessed 2], "Yes")</f>
        <v>0</v>
      </c>
      <c r="C289" s="176" t="s">
        <v>581</v>
      </c>
      <c r="D289" s="177" t="s">
        <v>222</v>
      </c>
      <c r="E289" s="312"/>
    </row>
    <row r="290" spans="1:5">
      <c r="A290" s="224"/>
      <c r="B290" s="183">
        <f>COUNTIFS(Table361037[Age], "&lt;=10", Table361037[Service Accessed 2], "No")</f>
        <v>0</v>
      </c>
      <c r="C290" s="79" t="s">
        <v>582</v>
      </c>
      <c r="D290" s="152" t="s">
        <v>222</v>
      </c>
      <c r="E290" s="312"/>
    </row>
    <row r="291" spans="1:5">
      <c r="A291" s="224"/>
      <c r="B291" s="183">
        <f>COUNTIFS(Table361037[Age], "&lt;=10", Table361037[Service Accessed 2], "Don't Know")</f>
        <v>0</v>
      </c>
      <c r="C291" s="176" t="s">
        <v>583</v>
      </c>
      <c r="D291" s="177" t="s">
        <v>222</v>
      </c>
      <c r="E291" s="312"/>
    </row>
    <row r="292" spans="1:5">
      <c r="A292" s="224"/>
      <c r="B292" s="183">
        <f>COUNTIFS(Table361037[Age], "&lt;=10", Table361037[Service Accessed 3], "Yes")</f>
        <v>0</v>
      </c>
      <c r="C292" s="79" t="s">
        <v>584</v>
      </c>
      <c r="D292" s="152" t="s">
        <v>222</v>
      </c>
      <c r="E292" s="312"/>
    </row>
    <row r="293" spans="1:5">
      <c r="A293" s="224"/>
      <c r="B293" s="183">
        <f>COUNTIFS(Table361037[Age], "&lt;=10", Table361037[Service Accessed 3], "No")</f>
        <v>0</v>
      </c>
      <c r="C293" s="176" t="s">
        <v>585</v>
      </c>
      <c r="D293" s="177" t="s">
        <v>222</v>
      </c>
      <c r="E293" s="312"/>
    </row>
    <row r="294" spans="1:5">
      <c r="A294" s="224"/>
      <c r="B294" s="183">
        <f>COUNTIFS(Table361037[Age], "&lt;=10", Table361037[Service Accessed 3], "Don't Know")</f>
        <v>0</v>
      </c>
      <c r="C294" s="79" t="s">
        <v>586</v>
      </c>
      <c r="D294" s="152" t="s">
        <v>222</v>
      </c>
      <c r="E294" s="312"/>
    </row>
    <row r="295" spans="1:5">
      <c r="A295" s="224"/>
      <c r="B295" s="183">
        <f>COUNTIFS(Table361037[Age], "&lt;=10", Table361037[Service Accessed 4], "Yes")</f>
        <v>0</v>
      </c>
      <c r="C295" s="176" t="s">
        <v>587</v>
      </c>
      <c r="D295" s="177" t="s">
        <v>222</v>
      </c>
      <c r="E295" s="312"/>
    </row>
    <row r="296" spans="1:5">
      <c r="A296" s="224"/>
      <c r="B296" s="183">
        <f>COUNTIFS(Table361037[Age], "&lt;=10", Table361037[Service Accessed 4], "No")</f>
        <v>0</v>
      </c>
      <c r="C296" s="79" t="s">
        <v>588</v>
      </c>
      <c r="D296" s="152" t="s">
        <v>222</v>
      </c>
      <c r="E296" s="312"/>
    </row>
    <row r="297" spans="1:5">
      <c r="A297" s="224"/>
      <c r="B297" s="183">
        <f>COUNTIFS(Table361037[Age], "&lt;=10", Table361037[Service Accessed 4], "Don't Know")</f>
        <v>0</v>
      </c>
      <c r="C297" s="176" t="s">
        <v>589</v>
      </c>
      <c r="D297" s="177" t="s">
        <v>222</v>
      </c>
      <c r="E297" s="312"/>
    </row>
    <row r="298" spans="1:5">
      <c r="A298" s="224"/>
      <c r="B298" s="183">
        <f>COUNTIFS(Table361037[Age], "&lt;=10", Table361037[Service Accessed 5], "Yes")</f>
        <v>0</v>
      </c>
      <c r="C298" s="79" t="s">
        <v>590</v>
      </c>
      <c r="D298" s="152" t="s">
        <v>222</v>
      </c>
      <c r="E298" s="312"/>
    </row>
    <row r="299" spans="1:5">
      <c r="A299" s="224"/>
      <c r="B299" s="183">
        <f>COUNTIFS(Table361037[Age], "&lt;=10", Table361037[Service Accessed 5], "No")</f>
        <v>0</v>
      </c>
      <c r="C299" s="176" t="s">
        <v>591</v>
      </c>
      <c r="D299" s="177" t="s">
        <v>222</v>
      </c>
      <c r="E299" s="312"/>
    </row>
    <row r="300" spans="1:5">
      <c r="A300" s="224"/>
      <c r="B300" s="183">
        <f>COUNTIFS(Table361037[Age], "&lt;=10", Table361037[Service Accessed 5], "Don't Know")</f>
        <v>0</v>
      </c>
      <c r="C300" s="79" t="s">
        <v>592</v>
      </c>
      <c r="D300" s="152" t="s">
        <v>222</v>
      </c>
      <c r="E300" s="312"/>
    </row>
    <row r="301" spans="1:5">
      <c r="A301" s="224"/>
      <c r="B301" s="183">
        <f>COUNTIFS(Table361037[Age], "&lt;=10", Table361037[Service Accessed 6], "Yes")</f>
        <v>0</v>
      </c>
      <c r="C301" s="176" t="s">
        <v>593</v>
      </c>
      <c r="D301" s="177" t="s">
        <v>222</v>
      </c>
      <c r="E301" s="312"/>
    </row>
    <row r="302" spans="1:5">
      <c r="A302" s="224"/>
      <c r="B302" s="183">
        <f>COUNTIFS(Table361037[Age], "&lt;=10", Table361037[Service Accessed 6], "No")</f>
        <v>0</v>
      </c>
      <c r="C302" s="79" t="s">
        <v>594</v>
      </c>
      <c r="D302" s="152" t="s">
        <v>222</v>
      </c>
      <c r="E302" s="312"/>
    </row>
    <row r="303" spans="1:5">
      <c r="A303" s="224"/>
      <c r="B303" s="183">
        <f>COUNTIFS(Table361037[Age], "&lt;=10", Table361037[Service Accessed 6], "Don't Know")</f>
        <v>0</v>
      </c>
      <c r="C303" s="176" t="s">
        <v>595</v>
      </c>
      <c r="D303" s="177" t="s">
        <v>222</v>
      </c>
      <c r="E303" s="312"/>
    </row>
    <row r="304" spans="1:5">
      <c r="A304" s="224"/>
      <c r="B304" s="150">
        <f>COUNTIFS(Table3610345[Age], "&lt;=10", Table3610345[Service Accessed 1], "Yes")</f>
        <v>0</v>
      </c>
      <c r="C304" s="79" t="s">
        <v>596</v>
      </c>
      <c r="D304" s="152" t="s">
        <v>222</v>
      </c>
      <c r="E304" s="312"/>
    </row>
    <row r="305" spans="1:5">
      <c r="A305" s="224"/>
      <c r="B305" s="150">
        <f>COUNTIFS(Table3610345[Age], "&lt;=10", Table3610345[Service Accessed 1], "No")</f>
        <v>0</v>
      </c>
      <c r="C305" s="176" t="s">
        <v>597</v>
      </c>
      <c r="D305" s="177" t="s">
        <v>222</v>
      </c>
      <c r="E305" s="312"/>
    </row>
    <row r="306" spans="1:5">
      <c r="A306" s="224"/>
      <c r="B306" s="150">
        <f>COUNTIFS(Table3610345[Age], "&lt;=10", Table3610345[Service Accessed 1], "Don't Know")</f>
        <v>0</v>
      </c>
      <c r="C306" s="79" t="s">
        <v>598</v>
      </c>
      <c r="D306" s="152" t="s">
        <v>222</v>
      </c>
      <c r="E306" s="312"/>
    </row>
    <row r="307" spans="1:5">
      <c r="A307" s="224"/>
      <c r="B307" s="150">
        <f>COUNTIFS(Table3610345[Age], "&lt;=10", Table3610345[Service Accessed 2], "Yes")</f>
        <v>0</v>
      </c>
      <c r="C307" s="176" t="s">
        <v>599</v>
      </c>
      <c r="D307" s="177" t="s">
        <v>222</v>
      </c>
      <c r="E307" s="312"/>
    </row>
    <row r="308" spans="1:5">
      <c r="A308" s="224"/>
      <c r="B308" s="150">
        <f>COUNTIFS(Table3610345[Age], "&lt;=10", Table3610345[Service Accessed 2], "No")</f>
        <v>0</v>
      </c>
      <c r="C308" s="79" t="s">
        <v>600</v>
      </c>
      <c r="D308" s="152" t="s">
        <v>222</v>
      </c>
      <c r="E308" s="312"/>
    </row>
    <row r="309" spans="1:5" ht="27.75">
      <c r="A309" s="224"/>
      <c r="B309" s="150">
        <f>COUNTIFS(Table3610345[Age], "&lt;=10", Table3610345[Service Accessed 2], "Don't Know")</f>
        <v>0</v>
      </c>
      <c r="C309" s="176" t="s">
        <v>601</v>
      </c>
      <c r="D309" s="177" t="s">
        <v>222</v>
      </c>
      <c r="E309" s="312"/>
    </row>
    <row r="310" spans="1:5">
      <c r="A310" s="224"/>
      <c r="B310" s="150">
        <f>COUNTIFS(Table3610345[Age], "&lt;=10", Table3610345[Service Accessed 3], "Yes")</f>
        <v>0</v>
      </c>
      <c r="C310" s="79" t="s">
        <v>602</v>
      </c>
      <c r="D310" s="152" t="s">
        <v>222</v>
      </c>
      <c r="E310" s="312"/>
    </row>
    <row r="311" spans="1:5">
      <c r="A311" s="224"/>
      <c r="B311" s="150">
        <f>COUNTIFS(Table3610345[Age], "&lt;=10", Table3610345[Service Accessed 3], "No")</f>
        <v>0</v>
      </c>
      <c r="C311" s="176" t="s">
        <v>603</v>
      </c>
      <c r="D311" s="177" t="s">
        <v>222</v>
      </c>
      <c r="E311" s="312"/>
    </row>
    <row r="312" spans="1:5">
      <c r="A312" s="224"/>
      <c r="B312" s="150">
        <f>COUNTIFS(Table3610345[Age], "&lt;=10", Table3610345[Service Accessed 3], "Don't Know")</f>
        <v>0</v>
      </c>
      <c r="C312" s="79" t="s">
        <v>604</v>
      </c>
      <c r="D312" s="152" t="s">
        <v>222</v>
      </c>
      <c r="E312" s="312"/>
    </row>
    <row r="313" spans="1:5">
      <c r="A313" s="224"/>
      <c r="B313" s="150">
        <f>COUNTIFS(Table3610345[Age], "&lt;=10", Table3610345[Service Accessed 4], "Yes")</f>
        <v>0</v>
      </c>
      <c r="C313" s="176" t="s">
        <v>605</v>
      </c>
      <c r="D313" s="177" t="s">
        <v>222</v>
      </c>
      <c r="E313" s="312"/>
    </row>
    <row r="314" spans="1:5">
      <c r="A314" s="224"/>
      <c r="B314" s="150">
        <f>COUNTIFS(Table3610345[Age], "&lt;=10", Table3610345[Service Accessed 4], "No")</f>
        <v>0</v>
      </c>
      <c r="C314" s="79" t="s">
        <v>606</v>
      </c>
      <c r="D314" s="152" t="s">
        <v>222</v>
      </c>
      <c r="E314" s="312"/>
    </row>
    <row r="315" spans="1:5">
      <c r="A315" s="224"/>
      <c r="B315" s="150">
        <f>COUNTIFS(Table3610345[Age], "&lt;=10", Table3610345[Service Accessed 4], "Don't Know")</f>
        <v>0</v>
      </c>
      <c r="C315" s="176" t="s">
        <v>607</v>
      </c>
      <c r="D315" s="177" t="s">
        <v>222</v>
      </c>
      <c r="E315" s="312"/>
    </row>
    <row r="316" spans="1:5">
      <c r="A316" s="224"/>
      <c r="B316" s="150">
        <f>COUNTIFS(Table3610345[Age], "&lt;=10", Table3610345[Service Accessed 5], "Yes")</f>
        <v>0</v>
      </c>
      <c r="C316" s="79" t="s">
        <v>608</v>
      </c>
      <c r="D316" s="152" t="s">
        <v>222</v>
      </c>
      <c r="E316" s="312"/>
    </row>
    <row r="317" spans="1:5">
      <c r="A317" s="224"/>
      <c r="B317" s="150">
        <f>COUNTIFS(Table3610345[Age], "&lt;=10", Table3610345[Service Accessed 5], "No")</f>
        <v>0</v>
      </c>
      <c r="C317" s="176" t="s">
        <v>609</v>
      </c>
      <c r="D317" s="177" t="s">
        <v>222</v>
      </c>
      <c r="E317" s="312"/>
    </row>
    <row r="318" spans="1:5">
      <c r="A318" s="224"/>
      <c r="B318" s="150">
        <f>COUNTIFS(Table3610345[Age], "&lt;=10", Table3610345[Service Accessed 5], "Don't Know")</f>
        <v>0</v>
      </c>
      <c r="C318" s="79" t="s">
        <v>610</v>
      </c>
      <c r="D318" s="152" t="s">
        <v>222</v>
      </c>
      <c r="E318" s="312"/>
    </row>
    <row r="319" spans="1:5">
      <c r="A319" s="224"/>
      <c r="B319" s="150">
        <f>COUNTIFS(Table3610345[Age], "&lt;=10", Table3610345[Service Accessed 6], "Yes")</f>
        <v>0</v>
      </c>
      <c r="C319" s="176" t="s">
        <v>611</v>
      </c>
      <c r="D319" s="177" t="s">
        <v>222</v>
      </c>
      <c r="E319" s="312"/>
    </row>
    <row r="320" spans="1:5">
      <c r="A320" s="224"/>
      <c r="B320" s="150">
        <f>COUNTIFS(Table3610345[Age], "&lt;=10", Table3610345[Service Accessed 6], "No")</f>
        <v>0</v>
      </c>
      <c r="C320" s="79" t="s">
        <v>612</v>
      </c>
      <c r="D320" s="152" t="s">
        <v>222</v>
      </c>
      <c r="E320" s="312"/>
    </row>
    <row r="321" spans="1:5" ht="27.75">
      <c r="A321" s="224"/>
      <c r="B321" s="150">
        <f>COUNTIFS(Table3610345[Age], "&lt;=10", Table3610345[Service Accessed 6], "Don't Know")</f>
        <v>0</v>
      </c>
      <c r="C321" s="176" t="s">
        <v>613</v>
      </c>
      <c r="D321" s="177" t="s">
        <v>222</v>
      </c>
      <c r="E321" s="312"/>
    </row>
    <row r="322" spans="1:5">
      <c r="A322" s="224"/>
      <c r="B322" s="150">
        <f>COUNTIFS(Table3610345[Age], "&lt;=10", Table3610345[Service Accessed 7], "Yes")</f>
        <v>0</v>
      </c>
      <c r="C322" s="79" t="s">
        <v>614</v>
      </c>
      <c r="D322" s="152" t="s">
        <v>222</v>
      </c>
      <c r="E322" s="312"/>
    </row>
    <row r="323" spans="1:5">
      <c r="A323" s="224"/>
      <c r="B323" s="150">
        <f>COUNTIFS(Table3610345[Age], "&lt;=10", Table3610345[Service Accessed 7], "No")</f>
        <v>0</v>
      </c>
      <c r="C323" s="176" t="s">
        <v>615</v>
      </c>
      <c r="D323" s="177" t="s">
        <v>222</v>
      </c>
      <c r="E323" s="312"/>
    </row>
    <row r="324" spans="1:5" ht="24" thickBot="1">
      <c r="A324" s="224"/>
      <c r="B324" s="150">
        <f>COUNTIFS(Table3610345[Age], "&lt;=10", Table3610345[Service Accessed 7], "Don't Know")</f>
        <v>0</v>
      </c>
      <c r="C324" s="184" t="s">
        <v>616</v>
      </c>
      <c r="D324" s="185" t="s">
        <v>222</v>
      </c>
      <c r="E324" s="313"/>
    </row>
    <row r="325" spans="1:5" ht="24" thickBot="1">
      <c r="A325" s="224"/>
      <c r="B325" s="182">
        <f>COUNTIFS(Table361034[Age], "&gt;10", Table361034[Age], "&lt;14", Table361034[Service Accessed 1], "Yes")</f>
        <v>0</v>
      </c>
      <c r="C325" s="186" t="s">
        <v>617</v>
      </c>
      <c r="D325" s="187" t="s">
        <v>222</v>
      </c>
      <c r="E325" s="311" t="s">
        <v>618</v>
      </c>
    </row>
    <row r="326" spans="1:5">
      <c r="A326" s="224"/>
      <c r="B326" s="182">
        <f>COUNTIFS(Table361034[Age], "&gt;10", Table361034[Age], "&lt;14", Table361034[Service Accessed 1], "No")</f>
        <v>0</v>
      </c>
      <c r="C326" s="188" t="s">
        <v>619</v>
      </c>
      <c r="D326" s="188" t="s">
        <v>222</v>
      </c>
      <c r="E326" s="312"/>
    </row>
    <row r="327" spans="1:5">
      <c r="A327" s="224"/>
      <c r="B327" s="182">
        <f>COUNTIFS(Table361034[Age], "&gt;10", Table361034[Age], "&lt;14", Table361034[Service Accessed 1], "Don't Know")</f>
        <v>0</v>
      </c>
      <c r="C327" s="176" t="s">
        <v>620</v>
      </c>
      <c r="D327" s="176" t="s">
        <v>222</v>
      </c>
      <c r="E327" s="312"/>
    </row>
    <row r="328" spans="1:5">
      <c r="A328" s="224"/>
      <c r="B328" s="182">
        <f>COUNTIFS(Table361034[Age], "&gt;10", Table361034[Age], "&lt;14", Table361034[Service Accessed 2], "Yes")</f>
        <v>0</v>
      </c>
      <c r="C328" s="79" t="s">
        <v>621</v>
      </c>
      <c r="D328" s="79" t="s">
        <v>222</v>
      </c>
      <c r="E328" s="312"/>
    </row>
    <row r="329" spans="1:5">
      <c r="A329" s="224"/>
      <c r="B329" s="182">
        <f>COUNTIFS(Table361034[Age], "&gt;10", Table361034[Age], "&lt;14", Table361034[Service Accessed 2], "No")</f>
        <v>0</v>
      </c>
      <c r="C329" s="176" t="s">
        <v>622</v>
      </c>
      <c r="D329" s="176" t="s">
        <v>222</v>
      </c>
      <c r="E329" s="312"/>
    </row>
    <row r="330" spans="1:5">
      <c r="A330" s="224"/>
      <c r="B330" s="182">
        <f>COUNTIFS(Table361034[Age], "&gt;10", Table361034[Age], "&lt;14", Table361034[Service Accessed 2], "Don't Know")</f>
        <v>0</v>
      </c>
      <c r="C330" s="79" t="s">
        <v>623</v>
      </c>
      <c r="D330" s="79" t="s">
        <v>222</v>
      </c>
      <c r="E330" s="312"/>
    </row>
    <row r="331" spans="1:5">
      <c r="A331" s="224"/>
      <c r="B331" s="182">
        <f>COUNTIFS(Table361034[Age], "&gt;10", Table361034[Age], "&lt;14", Table361034[Service Accessed 3], "Yes")</f>
        <v>0</v>
      </c>
      <c r="C331" s="176" t="s">
        <v>624</v>
      </c>
      <c r="D331" s="176" t="s">
        <v>222</v>
      </c>
      <c r="E331" s="312"/>
    </row>
    <row r="332" spans="1:5">
      <c r="A332" s="224"/>
      <c r="B332" s="182">
        <f>COUNTIFS(Table361034[Age], "&gt;10", Table361034[Age], "&lt;14", Table361034[Service Accessed 3], "No")</f>
        <v>0</v>
      </c>
      <c r="C332" s="79" t="s">
        <v>625</v>
      </c>
      <c r="D332" s="79" t="s">
        <v>222</v>
      </c>
      <c r="E332" s="312"/>
    </row>
    <row r="333" spans="1:5">
      <c r="A333" s="224"/>
      <c r="B333" s="182">
        <f>COUNTIFS(Table361034[Age], "&gt;10", Table361034[Age], "&lt;14", Table361034[Service Accessed 3], "Don't Know")</f>
        <v>0</v>
      </c>
      <c r="C333" s="176" t="s">
        <v>626</v>
      </c>
      <c r="D333" s="176" t="s">
        <v>222</v>
      </c>
      <c r="E333" s="312"/>
    </row>
    <row r="334" spans="1:5">
      <c r="A334" s="224"/>
      <c r="B334" s="182">
        <f>COUNTIFS(Table361034[Age], "&gt;10", Table361034[Age], "&lt;14", Table361034[Service Accessed 4], "Yes")</f>
        <v>0</v>
      </c>
      <c r="C334" s="79" t="s">
        <v>627</v>
      </c>
      <c r="D334" s="79" t="s">
        <v>222</v>
      </c>
      <c r="E334" s="312"/>
    </row>
    <row r="335" spans="1:5">
      <c r="A335" s="224"/>
      <c r="B335" s="182">
        <f>COUNTIFS(Table361034[Age], "&gt;10", Table361034[Age], "&lt;14", Table361034[Service Accessed 4], "No")</f>
        <v>0</v>
      </c>
      <c r="C335" s="176" t="s">
        <v>628</v>
      </c>
      <c r="D335" s="176" t="s">
        <v>222</v>
      </c>
      <c r="E335" s="312"/>
    </row>
    <row r="336" spans="1:5">
      <c r="A336" s="224"/>
      <c r="B336" s="182">
        <f>COUNTIFS(Table361034[Age], "&gt;10", Table361034[Age], "&lt;14", Table361034[Service Accessed 4], "Don't Know")</f>
        <v>0</v>
      </c>
      <c r="C336" s="79" t="s">
        <v>629</v>
      </c>
      <c r="D336" s="79" t="s">
        <v>222</v>
      </c>
      <c r="E336" s="312"/>
    </row>
    <row r="337" spans="1:5">
      <c r="A337" s="224"/>
      <c r="B337" s="182">
        <f>COUNTIFS(Table361034[Age], "&gt;10", Table361034[Age], "&lt;14", Table361034[Service Accessed 5], "Yes")</f>
        <v>0</v>
      </c>
      <c r="C337" s="176" t="s">
        <v>630</v>
      </c>
      <c r="D337" s="176" t="s">
        <v>222</v>
      </c>
      <c r="E337" s="312"/>
    </row>
    <row r="338" spans="1:5">
      <c r="A338" s="224"/>
      <c r="B338" s="182">
        <f>COUNTIFS(Table361034[Age], "&gt;10", Table361034[Age], "&lt;14", Table361034[Service Accessed 5], "No")</f>
        <v>0</v>
      </c>
      <c r="C338" s="79" t="s">
        <v>631</v>
      </c>
      <c r="D338" s="79" t="s">
        <v>222</v>
      </c>
      <c r="E338" s="312"/>
    </row>
    <row r="339" spans="1:5">
      <c r="A339" s="224"/>
      <c r="B339" s="182">
        <f>COUNTIFS(Table361034[Age], "&gt;10", Table361034[Age], "&lt;14", Table361034[Service Accessed 5], "Don't Know")</f>
        <v>0</v>
      </c>
      <c r="C339" s="176" t="s">
        <v>632</v>
      </c>
      <c r="D339" s="176" t="s">
        <v>222</v>
      </c>
      <c r="E339" s="312"/>
    </row>
    <row r="340" spans="1:5">
      <c r="A340" s="224"/>
      <c r="B340" s="189">
        <f>COUNTIFS(Table361037[Age], "&gt;10", Table361037[Age], "&lt;14", Table361037[Service Accessed 1], "Yes")</f>
        <v>0</v>
      </c>
      <c r="C340" s="79" t="s">
        <v>633</v>
      </c>
      <c r="D340" s="79" t="s">
        <v>222</v>
      </c>
      <c r="E340" s="312"/>
    </row>
    <row r="341" spans="1:5">
      <c r="A341" s="224"/>
      <c r="B341" s="189">
        <f>COUNTIFS(Table361037[Age], "&gt;10", Table361037[Age], "&lt;14", Table361037[Service Accessed 1], "No")</f>
        <v>0</v>
      </c>
      <c r="C341" s="176" t="s">
        <v>634</v>
      </c>
      <c r="D341" s="176" t="s">
        <v>222</v>
      </c>
      <c r="E341" s="312"/>
    </row>
    <row r="342" spans="1:5">
      <c r="A342" s="224"/>
      <c r="B342" s="189">
        <f>COUNTIFS(Table361037[Age], "&gt;10", Table361037[Age], "&lt;14", Table361037[Service Accessed 1], "Don't Know")</f>
        <v>0</v>
      </c>
      <c r="C342" s="79" t="s">
        <v>635</v>
      </c>
      <c r="D342" s="79" t="s">
        <v>222</v>
      </c>
      <c r="E342" s="312"/>
    </row>
    <row r="343" spans="1:5">
      <c r="A343" s="224"/>
      <c r="B343" s="189">
        <f>COUNTIFS(Table361037[Age], "&gt;10", Table361037[Age], "&lt;14", Table361037[Service Accessed 2], "Yes")</f>
        <v>0</v>
      </c>
      <c r="C343" s="176" t="s">
        <v>636</v>
      </c>
      <c r="D343" s="176" t="s">
        <v>222</v>
      </c>
      <c r="E343" s="312"/>
    </row>
    <row r="344" spans="1:5">
      <c r="A344" s="224"/>
      <c r="B344" s="189">
        <f>COUNTIFS(Table361037[Age], "&gt;10", Table361037[Age], "&lt;14", Table361037[Service Accessed 2], "No")</f>
        <v>0</v>
      </c>
      <c r="C344" s="79" t="s">
        <v>637</v>
      </c>
      <c r="D344" s="79" t="s">
        <v>222</v>
      </c>
      <c r="E344" s="312"/>
    </row>
    <row r="345" spans="1:5">
      <c r="A345" s="224"/>
      <c r="B345" s="189">
        <f>COUNTIFS(Table361037[Age], "&gt;10", Table361037[Age], "&lt;14", Table361037[Service Accessed 2], "Don't Know")</f>
        <v>0</v>
      </c>
      <c r="C345" s="176" t="s">
        <v>638</v>
      </c>
      <c r="D345" s="176" t="s">
        <v>222</v>
      </c>
      <c r="E345" s="312"/>
    </row>
    <row r="346" spans="1:5">
      <c r="A346" s="224"/>
      <c r="B346" s="189">
        <f>COUNTIFS(Table361037[Age], "&gt;10", Table361037[Age], "&lt;14", Table361037[Service Accessed 3], "Yes")</f>
        <v>0</v>
      </c>
      <c r="C346" s="79" t="s">
        <v>639</v>
      </c>
      <c r="D346" s="79" t="s">
        <v>222</v>
      </c>
      <c r="E346" s="312"/>
    </row>
    <row r="347" spans="1:5">
      <c r="A347" s="224"/>
      <c r="B347" s="189">
        <f>COUNTIFS(Table361037[Age], "&gt;10", Table361037[Age], "&lt;14", Table361037[Service Accessed 3], "No")</f>
        <v>0</v>
      </c>
      <c r="C347" s="176" t="s">
        <v>640</v>
      </c>
      <c r="D347" s="176" t="s">
        <v>222</v>
      </c>
      <c r="E347" s="312"/>
    </row>
    <row r="348" spans="1:5">
      <c r="A348" s="224"/>
      <c r="B348" s="189">
        <f>COUNTIFS(Table361037[Age], "&gt;10", Table361037[Age], "&lt;14", Table361037[Service Accessed 3], "Don't Know")</f>
        <v>0</v>
      </c>
      <c r="C348" s="79" t="s">
        <v>641</v>
      </c>
      <c r="D348" s="79" t="s">
        <v>222</v>
      </c>
      <c r="E348" s="312"/>
    </row>
    <row r="349" spans="1:5">
      <c r="A349" s="224"/>
      <c r="B349" s="189">
        <f>COUNTIFS(Table361037[Age], "&gt;10", Table361037[Age], "&lt;14", Table361037[Service Accessed 4], "Yes")</f>
        <v>0</v>
      </c>
      <c r="C349" s="176" t="s">
        <v>642</v>
      </c>
      <c r="D349" s="176" t="s">
        <v>222</v>
      </c>
      <c r="E349" s="312"/>
    </row>
    <row r="350" spans="1:5">
      <c r="A350" s="224"/>
      <c r="B350" s="189">
        <f>COUNTIFS(Table361037[Age], "&gt;10", Table361037[Age], "&lt;14", Table361037[Service Accessed 4], "No")</f>
        <v>0</v>
      </c>
      <c r="C350" s="79" t="s">
        <v>643</v>
      </c>
      <c r="D350" s="79" t="s">
        <v>222</v>
      </c>
      <c r="E350" s="312"/>
    </row>
    <row r="351" spans="1:5">
      <c r="A351" s="224"/>
      <c r="B351" s="189">
        <f>COUNTIFS(Table361037[Age], "&gt;10", Table361037[Age], "&lt;14", Table361037[Service Accessed 4], "Don't Know")</f>
        <v>0</v>
      </c>
      <c r="C351" s="176" t="s">
        <v>644</v>
      </c>
      <c r="D351" s="176" t="s">
        <v>222</v>
      </c>
      <c r="E351" s="312"/>
    </row>
    <row r="352" spans="1:5">
      <c r="A352" s="224"/>
      <c r="B352" s="189">
        <f>COUNTIFS(Table361037[Age], "&gt;10", Table361037[Age], "&lt;14", Table361037[Service Accessed 5], "Yes")</f>
        <v>0</v>
      </c>
      <c r="C352" s="79" t="s">
        <v>645</v>
      </c>
      <c r="D352" s="79" t="s">
        <v>222</v>
      </c>
      <c r="E352" s="312"/>
    </row>
    <row r="353" spans="1:5">
      <c r="A353" s="224"/>
      <c r="B353" s="189">
        <f>COUNTIFS(Table361037[Age], "&gt;10", Table361037[Age], "&lt;14", Table361037[Service Accessed 5], "No")</f>
        <v>0</v>
      </c>
      <c r="C353" s="176" t="s">
        <v>646</v>
      </c>
      <c r="D353" s="176" t="s">
        <v>222</v>
      </c>
      <c r="E353" s="312"/>
    </row>
    <row r="354" spans="1:5">
      <c r="A354" s="224"/>
      <c r="B354" s="189">
        <f>COUNTIFS(Table361037[Age], "&gt;10", Table361037[Age], "&lt;14", Table361037[Service Accessed 5], "Don't Know")</f>
        <v>0</v>
      </c>
      <c r="C354" s="79" t="s">
        <v>647</v>
      </c>
      <c r="D354" s="79" t="s">
        <v>222</v>
      </c>
      <c r="E354" s="312"/>
    </row>
    <row r="355" spans="1:5">
      <c r="A355" s="224"/>
      <c r="B355" s="189">
        <f>COUNTIFS(Table361037[Age], "&gt;10", Table361037[Age], "&lt;14", Table361037[Service Accessed 6], "Yes")</f>
        <v>0</v>
      </c>
      <c r="C355" s="176" t="s">
        <v>648</v>
      </c>
      <c r="D355" s="176" t="s">
        <v>222</v>
      </c>
      <c r="E355" s="312"/>
    </row>
    <row r="356" spans="1:5">
      <c r="A356" s="224"/>
      <c r="B356" s="189">
        <f>COUNTIFS(Table361037[Age], "&gt;10", Table361037[Age], "&lt;14", Table361037[Service Accessed 6], "No")</f>
        <v>0</v>
      </c>
      <c r="C356" s="79" t="s">
        <v>649</v>
      </c>
      <c r="D356" s="79" t="s">
        <v>222</v>
      </c>
      <c r="E356" s="312"/>
    </row>
    <row r="357" spans="1:5">
      <c r="A357" s="224"/>
      <c r="B357" s="189">
        <f>COUNTIFS(Table361037[Age], "&gt;10", Table361037[Age], "&lt;14", Table361037[Service Accessed 6], "Don't Know")</f>
        <v>0</v>
      </c>
      <c r="C357" s="176" t="s">
        <v>650</v>
      </c>
      <c r="D357" s="176" t="s">
        <v>222</v>
      </c>
      <c r="E357" s="312"/>
    </row>
    <row r="358" spans="1:5">
      <c r="A358" s="224"/>
      <c r="B358" s="150">
        <f>COUNTIFS(Table3610345[Age], "&gt;=14", Table3610345[Service Accessed 1], "Yes")</f>
        <v>0</v>
      </c>
      <c r="C358" s="79" t="s">
        <v>651</v>
      </c>
      <c r="D358" s="79" t="s">
        <v>222</v>
      </c>
      <c r="E358" s="312"/>
    </row>
    <row r="359" spans="1:5">
      <c r="A359" s="224"/>
      <c r="B359" s="150">
        <f>COUNTIFS(Table3610345[Age], "&gt;10", Table3610345[Age], "&lt;14", Table3610345[Service Accessed 1], "No")</f>
        <v>0</v>
      </c>
      <c r="C359" s="176" t="s">
        <v>652</v>
      </c>
      <c r="D359" s="176" t="s">
        <v>222</v>
      </c>
      <c r="E359" s="312"/>
    </row>
    <row r="360" spans="1:5">
      <c r="A360" s="224"/>
      <c r="B360" s="150">
        <f>COUNTIFS(Table3610345[Age], "&gt;10", Table3610345[Age], "&lt;14", Table3610345[Service Accessed 1], "Don't Know")</f>
        <v>0</v>
      </c>
      <c r="C360" s="79" t="s">
        <v>653</v>
      </c>
      <c r="D360" s="79" t="s">
        <v>222</v>
      </c>
      <c r="E360" s="312"/>
    </row>
    <row r="361" spans="1:5">
      <c r="A361" s="224"/>
      <c r="B361" s="150">
        <f>COUNTIFS(Table3610345[Age], "&gt;10", Table3610345[Age], "&lt;14", Table3610345[Service Accessed 2], "Yes")</f>
        <v>0</v>
      </c>
      <c r="C361" s="176" t="s">
        <v>654</v>
      </c>
      <c r="D361" s="176" t="s">
        <v>222</v>
      </c>
      <c r="E361" s="312"/>
    </row>
    <row r="362" spans="1:5">
      <c r="A362" s="224"/>
      <c r="B362" s="150">
        <f>COUNTIFS(Table3610345[Age], "&gt;10", Table3610345[Age], "&lt;14", Table3610345[Service Accessed 2], "No")</f>
        <v>0</v>
      </c>
      <c r="C362" s="79" t="s">
        <v>655</v>
      </c>
      <c r="D362" s="79" t="s">
        <v>222</v>
      </c>
      <c r="E362" s="312"/>
    </row>
    <row r="363" spans="1:5">
      <c r="A363" s="224"/>
      <c r="B363" s="150">
        <f>COUNTIFS(Table3610345[Age], "&gt;10", Table3610345[Age], "&lt;14", Table3610345[Service Accessed 2], "Don't Know")</f>
        <v>0</v>
      </c>
      <c r="C363" s="176" t="s">
        <v>656</v>
      </c>
      <c r="D363" s="176" t="s">
        <v>222</v>
      </c>
      <c r="E363" s="312"/>
    </row>
    <row r="364" spans="1:5">
      <c r="A364" s="224"/>
      <c r="B364" s="150">
        <f>COUNTIFS(Table3610345[Age], "&gt;10", Table3610345[Age], "&lt;14", Table3610345[Service Accessed 3], "Yes")</f>
        <v>0</v>
      </c>
      <c r="C364" s="79" t="s">
        <v>657</v>
      </c>
      <c r="D364" s="79" t="s">
        <v>222</v>
      </c>
      <c r="E364" s="312"/>
    </row>
    <row r="365" spans="1:5">
      <c r="A365" s="224"/>
      <c r="B365" s="150">
        <f>COUNTIFS(Table3610345[Age], "&gt;10", Table3610345[Age], "&lt;14", Table3610345[Service Accessed 3], "No")</f>
        <v>0</v>
      </c>
      <c r="C365" s="176" t="s">
        <v>658</v>
      </c>
      <c r="D365" s="176" t="s">
        <v>222</v>
      </c>
      <c r="E365" s="312"/>
    </row>
    <row r="366" spans="1:5">
      <c r="A366" s="224"/>
      <c r="B366" s="150">
        <f>COUNTIFS(Table3610345[Age], "&gt;10", Table3610345[Age], "&lt;14", Table3610345[Service Accessed 3], "Don't Know")</f>
        <v>0</v>
      </c>
      <c r="C366" s="79" t="s">
        <v>659</v>
      </c>
      <c r="D366" s="79" t="s">
        <v>222</v>
      </c>
      <c r="E366" s="312"/>
    </row>
    <row r="367" spans="1:5">
      <c r="A367" s="224"/>
      <c r="B367" s="150">
        <f>COUNTIFS(Table3610345[Age], "&gt;10", Table3610345[Age], "&lt;14", Table3610345[Service Accessed 4], "Yes")</f>
        <v>0</v>
      </c>
      <c r="C367" s="176" t="s">
        <v>660</v>
      </c>
      <c r="D367" s="176" t="s">
        <v>222</v>
      </c>
      <c r="E367" s="312"/>
    </row>
    <row r="368" spans="1:5">
      <c r="A368" s="224"/>
      <c r="B368" s="150">
        <f>COUNTIFS(Table3610345[Age], "&gt;10", Table3610345[Age], "&lt;14", Table3610345[Service Accessed 4], "No")</f>
        <v>0</v>
      </c>
      <c r="C368" s="79" t="s">
        <v>661</v>
      </c>
      <c r="D368" s="79" t="s">
        <v>222</v>
      </c>
      <c r="E368" s="312"/>
    </row>
    <row r="369" spans="1:5">
      <c r="A369" s="224"/>
      <c r="B369" s="150">
        <f>COUNTIFS(Table3610345[Age], "&gt;10", Table3610345[Age], "&lt;14", Table3610345[Service Accessed 4], "Don't Know")</f>
        <v>0</v>
      </c>
      <c r="C369" s="176" t="s">
        <v>662</v>
      </c>
      <c r="D369" s="176" t="s">
        <v>222</v>
      </c>
      <c r="E369" s="312"/>
    </row>
    <row r="370" spans="1:5">
      <c r="A370" s="224"/>
      <c r="B370" s="150">
        <f>COUNTIFS(Table3610345[Age], "&gt;10", Table3610345[Age], "&lt;14", Table3610345[Service Accessed 5], "Yes")</f>
        <v>0</v>
      </c>
      <c r="C370" s="79" t="s">
        <v>663</v>
      </c>
      <c r="D370" s="79" t="s">
        <v>222</v>
      </c>
      <c r="E370" s="312"/>
    </row>
    <row r="371" spans="1:5">
      <c r="A371" s="224"/>
      <c r="B371" s="150">
        <f>COUNTIFS(Table3610345[Age], "&gt;10", Table3610345[Age], "&lt;14", Table3610345[Service Accessed 5], "No")</f>
        <v>0</v>
      </c>
      <c r="C371" s="176" t="s">
        <v>664</v>
      </c>
      <c r="D371" s="176" t="s">
        <v>222</v>
      </c>
      <c r="E371" s="312"/>
    </row>
    <row r="372" spans="1:5">
      <c r="A372" s="224"/>
      <c r="B372" s="150">
        <f>COUNTIFS(Table3610345[Age], "&gt;10", Table3610345[Age], "&lt;14", Table3610345[Service Accessed 5], "Don't Know")</f>
        <v>0</v>
      </c>
      <c r="C372" s="79" t="s">
        <v>665</v>
      </c>
      <c r="D372" s="79" t="s">
        <v>222</v>
      </c>
      <c r="E372" s="312"/>
    </row>
    <row r="373" spans="1:5">
      <c r="A373" s="224"/>
      <c r="B373" s="150">
        <f>COUNTIFS(Table3610345[Age], "&gt;10", Table3610345[Age], "&lt;14", Table3610345[Service Accessed 6], "Yes")</f>
        <v>0</v>
      </c>
      <c r="C373" s="176" t="s">
        <v>666</v>
      </c>
      <c r="D373" s="176" t="s">
        <v>222</v>
      </c>
      <c r="E373" s="312"/>
    </row>
    <row r="374" spans="1:5">
      <c r="A374" s="224"/>
      <c r="B374" s="150">
        <f>COUNTIFS(Table3610345[Age], "&gt;10", Table3610345[Age], "&lt;14", Table3610345[Service Accessed 6], "No")</f>
        <v>0</v>
      </c>
      <c r="C374" s="79" t="s">
        <v>667</v>
      </c>
      <c r="D374" s="79" t="s">
        <v>222</v>
      </c>
      <c r="E374" s="312"/>
    </row>
    <row r="375" spans="1:5">
      <c r="A375" s="224"/>
      <c r="B375" s="150">
        <f>COUNTIFS(Table3610345[Age], "&gt;10", Table3610345[Age], "&lt;14", Table3610345[Service Accessed 6], "Don't Know")</f>
        <v>0</v>
      </c>
      <c r="C375" s="176" t="s">
        <v>668</v>
      </c>
      <c r="D375" s="176" t="s">
        <v>222</v>
      </c>
      <c r="E375" s="312"/>
    </row>
    <row r="376" spans="1:5">
      <c r="A376" s="224"/>
      <c r="B376" s="150">
        <f>COUNTIFS(Table3610345[Age], "&gt;10", Table3610345[Age], "&lt;14", Table3610345[Service Accessed 7], "Yes")</f>
        <v>0</v>
      </c>
      <c r="C376" s="79" t="s">
        <v>669</v>
      </c>
      <c r="D376" s="79" t="s">
        <v>222</v>
      </c>
      <c r="E376" s="312"/>
    </row>
    <row r="377" spans="1:5">
      <c r="A377" s="224"/>
      <c r="B377" s="150">
        <f>COUNTIFS(Table3610345[Age], "&gt;10", Table3610345[Age], "&lt;14", Table3610345[Service Accessed 7], "No")</f>
        <v>0</v>
      </c>
      <c r="C377" s="176" t="s">
        <v>670</v>
      </c>
      <c r="D377" s="176" t="s">
        <v>222</v>
      </c>
      <c r="E377" s="312"/>
    </row>
    <row r="378" spans="1:5" ht="24" thickBot="1">
      <c r="A378" s="224"/>
      <c r="B378" s="150">
        <f>COUNTIFS(Table3610345[Age], "&gt;10", Table3610345[Age], "&lt;14", Table3610345[Service Accessed 7], "Don't Know")</f>
        <v>0</v>
      </c>
      <c r="C378" s="184" t="s">
        <v>671</v>
      </c>
      <c r="D378" s="185" t="s">
        <v>222</v>
      </c>
      <c r="E378" s="313"/>
    </row>
    <row r="379" spans="1:5">
      <c r="A379" s="224"/>
      <c r="B379" s="182">
        <f>COUNTIFS(Table361034[Age], "&gt;=14", Table361034[Service Accessed 1], "Yes")</f>
        <v>0</v>
      </c>
      <c r="C379" s="190" t="s">
        <v>672</v>
      </c>
      <c r="D379" s="190" t="s">
        <v>222</v>
      </c>
      <c r="E379" s="311" t="s">
        <v>673</v>
      </c>
    </row>
    <row r="380" spans="1:5">
      <c r="A380" s="224"/>
      <c r="B380" s="182">
        <f>COUNTIFS(Table361034[Age], "&gt;=14", Table361034[Service Accessed 1], "No")</f>
        <v>0</v>
      </c>
      <c r="C380" s="79" t="s">
        <v>674</v>
      </c>
      <c r="D380" s="79" t="s">
        <v>222</v>
      </c>
      <c r="E380" s="312"/>
    </row>
    <row r="381" spans="1:5">
      <c r="A381" s="224"/>
      <c r="B381" s="182">
        <f>COUNTIFS(Table361034[Age], "&gt;=14", Table361034[Service Accessed 1], "Don't Know")</f>
        <v>0</v>
      </c>
      <c r="C381" s="176" t="s">
        <v>675</v>
      </c>
      <c r="D381" s="176" t="s">
        <v>222</v>
      </c>
      <c r="E381" s="312"/>
    </row>
    <row r="382" spans="1:5">
      <c r="A382" s="224"/>
      <c r="B382" s="182">
        <f>COUNTIFS(Table361034[Age], "&gt;=14", Table361034[Service Accessed 2], "Yes")</f>
        <v>0</v>
      </c>
      <c r="C382" s="79" t="s">
        <v>676</v>
      </c>
      <c r="D382" s="79" t="s">
        <v>222</v>
      </c>
      <c r="E382" s="312"/>
    </row>
    <row r="383" spans="1:5">
      <c r="A383" s="224"/>
      <c r="B383" s="182">
        <f>COUNTIFS(Table361034[Age], "&gt;=14", Table361034[Service Accessed 2], "No")</f>
        <v>0</v>
      </c>
      <c r="C383" s="176" t="s">
        <v>677</v>
      </c>
      <c r="D383" s="176" t="s">
        <v>222</v>
      </c>
      <c r="E383" s="312"/>
    </row>
    <row r="384" spans="1:5">
      <c r="A384" s="224"/>
      <c r="B384" s="182">
        <f>COUNTIFS(Table361034[Age], "&gt;=14", Table361034[Service Accessed 2], "Don't Know")</f>
        <v>0</v>
      </c>
      <c r="C384" s="79" t="s">
        <v>678</v>
      </c>
      <c r="D384" s="79" t="s">
        <v>222</v>
      </c>
      <c r="E384" s="312"/>
    </row>
    <row r="385" spans="1:5">
      <c r="A385" s="224"/>
      <c r="B385" s="182">
        <f>COUNTIFS(Table361034[Age], "&gt;=14", Table361034[Service Accessed 3], "Yes")</f>
        <v>0</v>
      </c>
      <c r="C385" s="176" t="s">
        <v>679</v>
      </c>
      <c r="D385" s="176" t="s">
        <v>222</v>
      </c>
      <c r="E385" s="312"/>
    </row>
    <row r="386" spans="1:5">
      <c r="A386" s="224"/>
      <c r="B386" s="182">
        <f>COUNTIFS(Table361034[Age], "&gt;=14", Table361034[Service Accessed 3], "No")</f>
        <v>0</v>
      </c>
      <c r="C386" s="79" t="s">
        <v>680</v>
      </c>
      <c r="D386" s="79" t="s">
        <v>222</v>
      </c>
      <c r="E386" s="312"/>
    </row>
    <row r="387" spans="1:5">
      <c r="A387" s="224"/>
      <c r="B387" s="182">
        <f>COUNTIFS(Table361034[Age], "&gt;=14", Table361034[Service Accessed 3], "Don't Know")</f>
        <v>0</v>
      </c>
      <c r="C387" s="176" t="s">
        <v>681</v>
      </c>
      <c r="D387" s="176" t="s">
        <v>222</v>
      </c>
      <c r="E387" s="312"/>
    </row>
    <row r="388" spans="1:5">
      <c r="A388" s="224"/>
      <c r="B388" s="182">
        <f>COUNTIFS(Table361034[Age], "&gt;=14", Table361034[Service Accessed 4], "Yes")</f>
        <v>0</v>
      </c>
      <c r="C388" s="79" t="s">
        <v>682</v>
      </c>
      <c r="D388" s="79" t="s">
        <v>222</v>
      </c>
      <c r="E388" s="312"/>
    </row>
    <row r="389" spans="1:5">
      <c r="A389" s="224"/>
      <c r="B389" s="182">
        <f>COUNTIFS(Table361034[Age], "&gt;=14", Table361034[Service Accessed 4], "No")</f>
        <v>0</v>
      </c>
      <c r="C389" s="176" t="s">
        <v>683</v>
      </c>
      <c r="D389" s="176" t="s">
        <v>222</v>
      </c>
      <c r="E389" s="312"/>
    </row>
    <row r="390" spans="1:5">
      <c r="A390" s="224"/>
      <c r="B390" s="182">
        <f>COUNTIFS(Table361034[Age], "&gt;=14", Table361034[Service Accessed 4], "Don't Know")</f>
        <v>0</v>
      </c>
      <c r="C390" s="79" t="s">
        <v>684</v>
      </c>
      <c r="D390" s="79" t="s">
        <v>222</v>
      </c>
      <c r="E390" s="312"/>
    </row>
    <row r="391" spans="1:5">
      <c r="A391" s="224"/>
      <c r="B391" s="182">
        <f>COUNTIFS(Table361034[Age], "&gt;=14", Table361034[Service Accessed 5], "Yes")</f>
        <v>0</v>
      </c>
      <c r="C391" s="176" t="s">
        <v>685</v>
      </c>
      <c r="D391" s="176" t="s">
        <v>222</v>
      </c>
      <c r="E391" s="312"/>
    </row>
    <row r="392" spans="1:5">
      <c r="A392" s="224"/>
      <c r="B392" s="182">
        <f>COUNTIFS(Table361034[Age], "&gt;=14", Table361034[Service Accessed 5], "No")</f>
        <v>0</v>
      </c>
      <c r="C392" s="79" t="s">
        <v>686</v>
      </c>
      <c r="D392" s="79" t="s">
        <v>222</v>
      </c>
      <c r="E392" s="312"/>
    </row>
    <row r="393" spans="1:5">
      <c r="A393" s="224"/>
      <c r="B393" s="182">
        <f>COUNTIFS(Table361034[Age], "&gt;=14", Table361034[Service Accessed 5], "Don't Know")</f>
        <v>0</v>
      </c>
      <c r="C393" s="176" t="s">
        <v>687</v>
      </c>
      <c r="D393" s="176" t="s">
        <v>222</v>
      </c>
      <c r="E393" s="312"/>
    </row>
    <row r="394" spans="1:5">
      <c r="A394" s="224"/>
      <c r="B394" s="189">
        <f>COUNTIFS(Table361037[Age], "&gt;=14", Table361037[Service Accessed 1], "Yes")</f>
        <v>0</v>
      </c>
      <c r="C394" s="79" t="s">
        <v>688</v>
      </c>
      <c r="D394" s="79" t="s">
        <v>222</v>
      </c>
      <c r="E394" s="312"/>
    </row>
    <row r="395" spans="1:5">
      <c r="A395" s="224"/>
      <c r="B395" s="189">
        <f>COUNTIFS(Table361037[Age], "&gt;=14", Table361037[Service Accessed 1], "No")</f>
        <v>0</v>
      </c>
      <c r="C395" s="176" t="s">
        <v>689</v>
      </c>
      <c r="D395" s="176" t="s">
        <v>222</v>
      </c>
      <c r="E395" s="312"/>
    </row>
    <row r="396" spans="1:5">
      <c r="A396" s="224"/>
      <c r="B396" s="189">
        <f>COUNTIFS(Table361037[Age], "&gt;=14", Table361037[Service Accessed 1], "Don't Know")</f>
        <v>0</v>
      </c>
      <c r="C396" s="79" t="s">
        <v>690</v>
      </c>
      <c r="D396" s="79" t="s">
        <v>222</v>
      </c>
      <c r="E396" s="312"/>
    </row>
    <row r="397" spans="1:5">
      <c r="A397" s="224"/>
      <c r="B397" s="189">
        <f>COUNTIFS(Table361037[Age], "&gt;=14", Table361037[Service Accessed 2], "Yes")</f>
        <v>0</v>
      </c>
      <c r="C397" s="176" t="s">
        <v>691</v>
      </c>
      <c r="D397" s="176" t="s">
        <v>222</v>
      </c>
      <c r="E397" s="312"/>
    </row>
    <row r="398" spans="1:5">
      <c r="A398" s="224"/>
      <c r="B398" s="189">
        <f>COUNTIFS(Table361037[Age], "&gt;=14", Table361037[Service Accessed 2], "No")</f>
        <v>0</v>
      </c>
      <c r="C398" s="79" t="s">
        <v>692</v>
      </c>
      <c r="D398" s="79" t="s">
        <v>222</v>
      </c>
      <c r="E398" s="312"/>
    </row>
    <row r="399" spans="1:5">
      <c r="A399" s="224"/>
      <c r="B399" s="189">
        <f>COUNTIFS(Table361037[Age], "&gt;=14", Table361037[Service Accessed 2], "Don't Know")</f>
        <v>0</v>
      </c>
      <c r="C399" s="176" t="s">
        <v>693</v>
      </c>
      <c r="D399" s="176" t="s">
        <v>222</v>
      </c>
      <c r="E399" s="312"/>
    </row>
    <row r="400" spans="1:5">
      <c r="A400" s="224"/>
      <c r="B400" s="189">
        <f>COUNTIFS(Table361037[Age], "&gt;=14", Table361037[Service Accessed 3], "Yes")</f>
        <v>0</v>
      </c>
      <c r="C400" s="79" t="s">
        <v>694</v>
      </c>
      <c r="D400" s="79" t="s">
        <v>222</v>
      </c>
      <c r="E400" s="312"/>
    </row>
    <row r="401" spans="1:5">
      <c r="A401" s="224"/>
      <c r="B401" s="189">
        <f>COUNTIFS(Table361037[Age], "&gt;=14", Table361037[Service Accessed 3], "No")</f>
        <v>0</v>
      </c>
      <c r="C401" s="176" t="s">
        <v>695</v>
      </c>
      <c r="D401" s="176" t="s">
        <v>222</v>
      </c>
      <c r="E401" s="312"/>
    </row>
    <row r="402" spans="1:5">
      <c r="A402" s="224"/>
      <c r="B402" s="189">
        <f>COUNTIFS(Table361037[Age], "&gt;=14", Table361037[Service Accessed 3], "Don't Know")</f>
        <v>0</v>
      </c>
      <c r="C402" s="79" t="s">
        <v>696</v>
      </c>
      <c r="D402" s="79" t="s">
        <v>222</v>
      </c>
      <c r="E402" s="312"/>
    </row>
    <row r="403" spans="1:5">
      <c r="A403" s="224"/>
      <c r="B403" s="189">
        <f>COUNTIFS(Table361037[Age], "&gt;=14", Table361037[Service Accessed 4], "Yes")</f>
        <v>0</v>
      </c>
      <c r="C403" s="176" t="s">
        <v>697</v>
      </c>
      <c r="D403" s="176" t="s">
        <v>222</v>
      </c>
      <c r="E403" s="312"/>
    </row>
    <row r="404" spans="1:5">
      <c r="A404" s="224"/>
      <c r="B404" s="189">
        <f>COUNTIFS(Table361037[Age], "&gt;=14", Table361037[Service Accessed 4], "No")</f>
        <v>0</v>
      </c>
      <c r="C404" s="79" t="s">
        <v>698</v>
      </c>
      <c r="D404" s="79" t="s">
        <v>222</v>
      </c>
      <c r="E404" s="312"/>
    </row>
    <row r="405" spans="1:5">
      <c r="A405" s="224"/>
      <c r="B405" s="189">
        <f>COUNTIFS(Table361037[Age], "&gt;=14", Table361037[Service Accessed 4], "Don't Know")</f>
        <v>0</v>
      </c>
      <c r="C405" s="176" t="s">
        <v>699</v>
      </c>
      <c r="D405" s="176" t="s">
        <v>222</v>
      </c>
      <c r="E405" s="312"/>
    </row>
    <row r="406" spans="1:5">
      <c r="A406" s="224"/>
      <c r="B406" s="189">
        <f>COUNTIFS(Table361037[Age], "&gt;=14", Table361037[Service Accessed 5], "Yes")</f>
        <v>0</v>
      </c>
      <c r="C406" s="79" t="s">
        <v>700</v>
      </c>
      <c r="D406" s="79" t="s">
        <v>222</v>
      </c>
      <c r="E406" s="312"/>
    </row>
    <row r="407" spans="1:5">
      <c r="A407" s="224"/>
      <c r="B407" s="189">
        <f>COUNTIFS(Table361037[Age], "&gt;=14", Table361037[Service Accessed 5], "No")</f>
        <v>0</v>
      </c>
      <c r="C407" s="176" t="s">
        <v>701</v>
      </c>
      <c r="D407" s="176" t="s">
        <v>222</v>
      </c>
      <c r="E407" s="312"/>
    </row>
    <row r="408" spans="1:5">
      <c r="A408" s="224"/>
      <c r="B408" s="189">
        <f>COUNTIFS(Table361037[Age], "&gt;=14", Table361037[Service Accessed 5], "Don't Know")</f>
        <v>0</v>
      </c>
      <c r="C408" s="79" t="s">
        <v>702</v>
      </c>
      <c r="D408" s="79" t="s">
        <v>222</v>
      </c>
      <c r="E408" s="312"/>
    </row>
    <row r="409" spans="1:5">
      <c r="A409" s="224"/>
      <c r="B409" s="189">
        <f>COUNTIFS(Table361037[Age], "&gt;=14", Table361037[Service Accessed 6], "Yes")</f>
        <v>0</v>
      </c>
      <c r="C409" s="176" t="s">
        <v>703</v>
      </c>
      <c r="D409" s="176" t="s">
        <v>222</v>
      </c>
      <c r="E409" s="312"/>
    </row>
    <row r="410" spans="1:5">
      <c r="A410" s="224"/>
      <c r="B410" s="189">
        <f>COUNTIFS(Table361037[Age], "&gt;=14", Table361037[Service Accessed 6], "No")</f>
        <v>0</v>
      </c>
      <c r="C410" s="79" t="s">
        <v>704</v>
      </c>
      <c r="D410" s="79" t="s">
        <v>222</v>
      </c>
      <c r="E410" s="312"/>
    </row>
    <row r="411" spans="1:5">
      <c r="A411" s="224"/>
      <c r="B411" s="189">
        <f>COUNTIFS(Table361037[Age], "&gt;=14", Table361037[Service Accessed 6], "Don't Know")</f>
        <v>0</v>
      </c>
      <c r="C411" s="176" t="s">
        <v>705</v>
      </c>
      <c r="D411" s="176" t="s">
        <v>222</v>
      </c>
      <c r="E411" s="312"/>
    </row>
    <row r="412" spans="1:5">
      <c r="A412" s="224"/>
      <c r="B412" s="150">
        <f>COUNTIFS(Table3610345[Age], "&gt;=14", Table3610345[Service Accessed 1], "Yes")</f>
        <v>0</v>
      </c>
      <c r="C412" s="79" t="s">
        <v>706</v>
      </c>
      <c r="D412" s="79" t="s">
        <v>222</v>
      </c>
      <c r="E412" s="312"/>
    </row>
    <row r="413" spans="1:5">
      <c r="A413" s="224"/>
      <c r="B413" s="150">
        <f>COUNTIFS(Table3610345[Age], "&gt;=14", Table3610345[Service Accessed 1], "No")</f>
        <v>0</v>
      </c>
      <c r="C413" s="176" t="s">
        <v>707</v>
      </c>
      <c r="D413" s="176" t="s">
        <v>222</v>
      </c>
      <c r="E413" s="312"/>
    </row>
    <row r="414" spans="1:5">
      <c r="A414" s="224"/>
      <c r="B414" s="150">
        <f>COUNTIFS(Table3610345[Age], "&gt;=14", Table3610345[Service Accessed 1], "Don't Know")</f>
        <v>0</v>
      </c>
      <c r="C414" s="79" t="s">
        <v>708</v>
      </c>
      <c r="D414" s="79" t="s">
        <v>222</v>
      </c>
      <c r="E414" s="312"/>
    </row>
    <row r="415" spans="1:5">
      <c r="A415" s="224"/>
      <c r="B415" s="150">
        <f>COUNTIFS(Table3610345[Age], "&gt;=14", Table3610345[Service Accessed 2], "Yes")</f>
        <v>0</v>
      </c>
      <c r="C415" s="176" t="s">
        <v>709</v>
      </c>
      <c r="D415" s="176" t="s">
        <v>222</v>
      </c>
      <c r="E415" s="312"/>
    </row>
    <row r="416" spans="1:5">
      <c r="A416" s="224"/>
      <c r="B416" s="150">
        <f>COUNTIFS(Table3610345[Age], "&gt;=14", Table3610345[Service Accessed 2], "No")</f>
        <v>0</v>
      </c>
      <c r="C416" s="79" t="s">
        <v>710</v>
      </c>
      <c r="D416" s="79" t="s">
        <v>222</v>
      </c>
      <c r="E416" s="312"/>
    </row>
    <row r="417" spans="1:5" ht="27.75">
      <c r="A417" s="224"/>
      <c r="B417" s="150">
        <f>COUNTIFS(Table3610345[Age], "&gt;=14", Table3610345[Service Accessed 2], "Don't Know")</f>
        <v>0</v>
      </c>
      <c r="C417" s="176" t="s">
        <v>711</v>
      </c>
      <c r="D417" s="176" t="s">
        <v>222</v>
      </c>
      <c r="E417" s="312"/>
    </row>
    <row r="418" spans="1:5">
      <c r="A418" s="224"/>
      <c r="B418" s="150">
        <f>COUNTIFS(Table3610345[Age], "&gt;=14", Table3610345[Service Accessed 3], "Yes")</f>
        <v>0</v>
      </c>
      <c r="C418" s="79" t="s">
        <v>712</v>
      </c>
      <c r="D418" s="79" t="s">
        <v>222</v>
      </c>
      <c r="E418" s="312"/>
    </row>
    <row r="419" spans="1:5">
      <c r="A419" s="224"/>
      <c r="B419" s="150">
        <f>COUNTIFS(Table3610345[Age], "&gt;=14", Table3610345[Service Accessed 3], "No")</f>
        <v>0</v>
      </c>
      <c r="C419" s="176" t="s">
        <v>713</v>
      </c>
      <c r="D419" s="176" t="s">
        <v>222</v>
      </c>
      <c r="E419" s="312"/>
    </row>
    <row r="420" spans="1:5">
      <c r="A420" s="224"/>
      <c r="B420" s="150">
        <f>COUNTIFS(Table3610345[Age], "&gt;=14", Table3610345[Service Accessed 3], "Don't Know")</f>
        <v>0</v>
      </c>
      <c r="C420" s="79" t="s">
        <v>714</v>
      </c>
      <c r="D420" s="79" t="s">
        <v>222</v>
      </c>
      <c r="E420" s="312"/>
    </row>
    <row r="421" spans="1:5">
      <c r="A421" s="224"/>
      <c r="B421" s="150">
        <f>COUNTIFS(Table3610345[Age], "&gt;=14", Table3610345[Service Accessed 4], "Yes")</f>
        <v>0</v>
      </c>
      <c r="C421" s="176" t="s">
        <v>715</v>
      </c>
      <c r="D421" s="176" t="s">
        <v>222</v>
      </c>
      <c r="E421" s="312"/>
    </row>
    <row r="422" spans="1:5">
      <c r="A422" s="224"/>
      <c r="B422" s="150">
        <f>COUNTIFS(Table3610345[Age], "&gt;=14", Table3610345[Service Accessed 4], "No")</f>
        <v>0</v>
      </c>
      <c r="C422" s="79" t="s">
        <v>716</v>
      </c>
      <c r="D422" s="79" t="s">
        <v>222</v>
      </c>
      <c r="E422" s="312"/>
    </row>
    <row r="423" spans="1:5">
      <c r="A423" s="224"/>
      <c r="B423" s="150">
        <f>COUNTIFS(Table3610345[Age], "&gt;=14", Table3610345[Service Accessed 4], "Don't Know")</f>
        <v>0</v>
      </c>
      <c r="C423" s="176" t="s">
        <v>717</v>
      </c>
      <c r="D423" s="176" t="s">
        <v>222</v>
      </c>
      <c r="E423" s="312"/>
    </row>
    <row r="424" spans="1:5">
      <c r="A424" s="224"/>
      <c r="B424" s="150">
        <f>COUNTIFS(Table3610345[Age], "&gt;=14", Table3610345[Service Accessed 5], "Yes")</f>
        <v>0</v>
      </c>
      <c r="C424" s="79" t="s">
        <v>718</v>
      </c>
      <c r="D424" s="79" t="s">
        <v>222</v>
      </c>
      <c r="E424" s="312"/>
    </row>
    <row r="425" spans="1:5">
      <c r="A425" s="224"/>
      <c r="B425" s="150">
        <f>COUNTIFS(Table3610345[Age], "&gt;=14", Table3610345[Service Accessed 5], "No")</f>
        <v>0</v>
      </c>
      <c r="C425" s="176" t="s">
        <v>719</v>
      </c>
      <c r="D425" s="176" t="s">
        <v>222</v>
      </c>
      <c r="E425" s="312"/>
    </row>
    <row r="426" spans="1:5">
      <c r="A426" s="224"/>
      <c r="B426" s="150">
        <f>COUNTIFS(Table3610345[Age], "&gt;=14", Table3610345[Service Accessed 5], "Don't Know")</f>
        <v>0</v>
      </c>
      <c r="C426" s="79" t="s">
        <v>720</v>
      </c>
      <c r="D426" s="79" t="s">
        <v>222</v>
      </c>
      <c r="E426" s="312"/>
    </row>
    <row r="427" spans="1:5">
      <c r="A427" s="224"/>
      <c r="B427" s="150">
        <f>COUNTIFS(Table3610345[Age], "&gt;=14", Table3610345[Service Accessed 6], "Yes")</f>
        <v>0</v>
      </c>
      <c r="C427" s="176" t="s">
        <v>721</v>
      </c>
      <c r="D427" s="176" t="s">
        <v>222</v>
      </c>
      <c r="E427" s="312"/>
    </row>
    <row r="428" spans="1:5">
      <c r="A428" s="224"/>
      <c r="B428" s="150">
        <f>COUNTIFS(Table3610345[Age], "&gt;=14", Table3610345[Service Accessed 6], "No")</f>
        <v>0</v>
      </c>
      <c r="C428" s="79" t="s">
        <v>722</v>
      </c>
      <c r="D428" s="79" t="s">
        <v>222</v>
      </c>
      <c r="E428" s="312"/>
    </row>
    <row r="429" spans="1:5" ht="27.75">
      <c r="A429" s="224"/>
      <c r="B429" s="150">
        <f>COUNTIFS(Table3610345[Age], "&gt;=14", Table3610345[Service Accessed 6], "Don't Know")</f>
        <v>0</v>
      </c>
      <c r="C429" s="176" t="s">
        <v>723</v>
      </c>
      <c r="D429" s="176" t="s">
        <v>222</v>
      </c>
      <c r="E429" s="312"/>
    </row>
    <row r="430" spans="1:5">
      <c r="A430" s="224"/>
      <c r="B430" s="150">
        <f>COUNTIFS(Table3610345[Age], "&gt;=14", Table3610345[Service Accessed 7], "Yes")</f>
        <v>0</v>
      </c>
      <c r="C430" s="79" t="s">
        <v>724</v>
      </c>
      <c r="D430" s="79" t="s">
        <v>222</v>
      </c>
      <c r="E430" s="312"/>
    </row>
    <row r="431" spans="1:5">
      <c r="A431" s="224"/>
      <c r="B431" s="150">
        <f>COUNTIFS(Table3610345[Age], "&gt;=14", Table3610345[Service Accessed 7], "No")</f>
        <v>0</v>
      </c>
      <c r="C431" s="176" t="s">
        <v>725</v>
      </c>
      <c r="D431" s="176" t="s">
        <v>222</v>
      </c>
      <c r="E431" s="312"/>
    </row>
    <row r="432" spans="1:5" ht="24" thickBot="1">
      <c r="A432" s="225"/>
      <c r="B432" s="150">
        <f>COUNTIFS(Table3610345[Age], "&gt;=14", Table3610345[Service Accessed 7], "Don't Know")</f>
        <v>0</v>
      </c>
      <c r="C432" s="79" t="s">
        <v>726</v>
      </c>
      <c r="D432" s="79" t="s">
        <v>222</v>
      </c>
      <c r="E432" s="313"/>
    </row>
    <row r="433" spans="1:11" ht="21.75" thickBot="1">
      <c r="A433" s="333" t="s">
        <v>400</v>
      </c>
      <c r="B433" s="334"/>
      <c r="C433" s="334"/>
      <c r="D433" s="334"/>
      <c r="E433" s="335"/>
    </row>
    <row r="434" spans="1:11">
      <c r="A434" s="226" t="s">
        <v>727</v>
      </c>
      <c r="B434" s="182">
        <f>SUM('Non-Treatment Supports General'!$E:$E, 'Non-Treatment Supports General'!$N:$N, 'Non-Treatment Supports General'!$W:$W, 'Non-Treatment Supports General'!$AF:$AF, 'Non-Treatment Supports General'!$AO:$AO, 'Non-Treatment Supports General'!$AX:$AX, 'Non-Treatment Supports General'!$BG:$BG, 'Non-Treatment Supports General'!$BP:$BP, 'Non-Treatment Supports General'!$BZ:$BZ)</f>
        <v>0</v>
      </c>
      <c r="C434" s="176" t="s">
        <v>728</v>
      </c>
      <c r="D434" s="177" t="s">
        <v>222</v>
      </c>
      <c r="E434" s="311" t="s">
        <v>729</v>
      </c>
      <c r="I434" s="84">
        <f>SUM('Non-Treatment Supports General'!$E:$E, 'Non-Treatment Supports General'!$N:$N, 'Non-Treatment Supports General'!$W:$W, 'Non-Treatment Supports General'!$AF:$AF, 'Non-Treatment Supports General'!$AO:$AO, 'Non-Treatment Supports General'!$AX:$AX, 'Non-Treatment Supports General'!$BG:$BG, 'Non-Treatment Supports General'!$BP:$BP, 'Non-Treatment Supports General'!$BZ:$BZ)</f>
        <v>0</v>
      </c>
      <c r="J434" s="84">
        <f>SUM('Drug &amp; Alcohol'!$E:$E, 'Drug &amp; Alcohol'!$N:$N, 'Drug &amp; Alcohol'!$W:$W, 'Drug &amp; Alcohol'!$AF:$AF, 'Drug &amp; Alcohol'!$AO:$AO, 'Drug &amp; Alcohol'!$AX:$AX, 'Drug &amp; Alcohol'!$BG:$BG, 'Drug &amp; Alcohol'!$BP:$BP, 'Drug &amp; Alcohol'!$BZ:$BZ)</f>
        <v>0</v>
      </c>
      <c r="K434" s="84">
        <f>SUM('Mental Health Treatment'!$E:$E, 'Mental Health Treatment'!$N:$N, 'Mental Health Treatment'!$W:$W, 'Mental Health Treatment'!$AF:$AF, 'Mental Health Treatment'!$AO:$AO, 'Mental Health Treatment'!$AX:$AX, 'Mental Health Treatment'!$BG:$BG, 'Mental Health Treatment'!$BP:$BP, 'Mental Health Treatment'!$BZ:$BZ)</f>
        <v>0</v>
      </c>
    </row>
    <row r="435" spans="1:11">
      <c r="A435" s="227"/>
      <c r="B435" s="182">
        <f>SUM('Non-Treatment Supports General'!$F:$F, 'Non-Treatment Supports General'!$O:$O, 'Non-Treatment Supports General'!$X:$X, 'Non-Treatment Supports General'!$AG:$AG, 'Non-Treatment Supports General'!$AP:$AP, 'Non-Treatment Supports General'!$AY:$AY, 'Non-Treatment Supports General'!$BH:$BH, 'Non-Treatment Supports General'!$BQ:$BQ, 'Non-Treatment Supports General'!$CA:$CA)</f>
        <v>0</v>
      </c>
      <c r="C435" s="79" t="s">
        <v>730</v>
      </c>
      <c r="D435" s="152" t="s">
        <v>222</v>
      </c>
      <c r="E435" s="312"/>
      <c r="I435" s="84">
        <f>SUM('Non-Treatment Supports General'!$F:$F, 'Non-Treatment Supports General'!$O:$O, 'Non-Treatment Supports General'!$X:$X, 'Non-Treatment Supports General'!$AG:$AG, 'Non-Treatment Supports General'!$AP:$AP, 'Non-Treatment Supports General'!$AY:$AY, 'Non-Treatment Supports General'!$BH:$BH, 'Non-Treatment Supports General'!$BQ:$BQ, 'Non-Treatment Supports General'!$CA:$CA)</f>
        <v>0</v>
      </c>
      <c r="J435" s="84">
        <f>SUM('Drug &amp; Alcohol'!$F:$F, 'Drug &amp; Alcohol'!$O:$O, 'Drug &amp; Alcohol'!$X:$X, 'Drug &amp; Alcohol'!$AG:$AG, 'Drug &amp; Alcohol'!$AP:$AP, 'Drug &amp; Alcohol'!$AY:$AY, 'Drug &amp; Alcohol'!$BH:$BH, 'Drug &amp; Alcohol'!$BQ:$BQ, 'Drug &amp; Alcohol'!$CA:$CA)</f>
        <v>0</v>
      </c>
      <c r="K435" s="84">
        <f>SUM('Mental Health Treatment'!$F:$F, 'Mental Health Treatment'!$O:$O, 'Mental Health Treatment'!$X:$X, 'Mental Health Treatment'!$AG:$AG, 'Mental Health Treatment'!$AP:$AP, 'Mental Health Treatment'!$AY:$AY, 'Mental Health Treatment'!$BH:$BH, 'Mental Health Treatment'!$BQ:$BQ, 'Mental Health Treatment'!$CA:$CA)</f>
        <v>0</v>
      </c>
    </row>
    <row r="436" spans="1:11">
      <c r="A436" s="227"/>
      <c r="B436" s="182">
        <f>SUM('Non-Treatment Supports General'!$G:$G, 'Non-Treatment Supports General'!$P:$P, 'Non-Treatment Supports General'!$Y:$Y, 'Non-Treatment Supports General'!$AH:$AH, 'Non-Treatment Supports General'!$AQ:$AQ, 'Non-Treatment Supports General'!$AZ:$AZ, 'Non-Treatment Supports General'!BI:BI, 'Non-Treatment Supports General'!$BR:$BR, 'Non-Treatment Supports General'!$CB:$CB)</f>
        <v>0</v>
      </c>
      <c r="C436" s="176" t="s">
        <v>731</v>
      </c>
      <c r="D436" s="177" t="s">
        <v>222</v>
      </c>
      <c r="E436" s="312"/>
      <c r="I436" s="84">
        <f>SUM('Non-Treatment Supports General'!$G:$G, 'Non-Treatment Supports General'!$P:$P, 'Non-Treatment Supports General'!$Y:$Y, 'Non-Treatment Supports General'!$AH:$AH, 'Non-Treatment Supports General'!$AQ:$AQ, 'Non-Treatment Supports General'!$AZ:$AZ, 'Non-Treatment Supports General'!BP:BP, 'Non-Treatment Supports General'!$BR:$BR, 'Non-Treatment Supports General'!$CB:$CB)</f>
        <v>0</v>
      </c>
      <c r="J436" s="84">
        <f>SUM('Drug &amp; Alcohol'!$G:$G, 'Drug &amp; Alcohol'!$P:$P, 'Drug &amp; Alcohol'!$Y:$Y, 'Drug &amp; Alcohol'!$AH:$AH, 'Drug &amp; Alcohol'!$AQ:$AQ, 'Drug &amp; Alcohol'!$AZ:$AZ, 'Drug &amp; Alcohol'!$BI:$BI, 'Drug &amp; Alcohol'!$BR:$BR, 'Drug &amp; Alcohol'!$CB:$CB)</f>
        <v>0</v>
      </c>
      <c r="K436" s="84">
        <f>SUM('Mental Health Treatment'!$G:$G, 'Mental Health Treatment'!$P:$P, 'Mental Health Treatment'!$Y:$Y, 'Mental Health Treatment'!$AH:$AH, 'Mental Health Treatment'!$AQ:$AQ, 'Mental Health Treatment'!$AZ:$AZ, 'Mental Health Treatment'!$BI:$BI, 'Mental Health Treatment'!$BR:$BR, 'Mental Health Treatment'!$CB:$CB)</f>
        <v>0</v>
      </c>
    </row>
    <row r="437" spans="1:11">
      <c r="A437" s="227"/>
      <c r="B437" s="182">
        <f>SUM('Non-Treatment Supports General'!$H:$H, 'Non-Treatment Supports General'!$Q:$Q, 'Non-Treatment Supports General'!$Z:$Z, 'Non-Treatment Supports General'!$AI:$AI, 'Non-Treatment Supports General'!$AR:$AR, 'Non-Treatment Supports General'!$BA:$BA, 'Non-Treatment Supports General'!BJ:BJ, 'Non-Treatment Supports General'!$BS:$BS, 'Non-Treatment Supports General'!$CC:$CC)</f>
        <v>0</v>
      </c>
      <c r="C437" s="79" t="s">
        <v>732</v>
      </c>
      <c r="D437" s="152" t="s">
        <v>222</v>
      </c>
      <c r="E437" s="312"/>
      <c r="I437" s="84">
        <f>SUM('Non-Treatment Supports General'!$H:$H, 'Non-Treatment Supports General'!$Q:$Q, 'Non-Treatment Supports General'!$Z:$Z, 'Non-Treatment Supports General'!$AI:$AI, 'Non-Treatment Supports General'!$AR:$AR, 'Non-Treatment Supports General'!$BA:$BA, 'Non-Treatment Supports General'!BQ:BQ, 'Non-Treatment Supports General'!$BS:$BS, 'Non-Treatment Supports General'!$CC:$CC)</f>
        <v>0</v>
      </c>
      <c r="J437" s="84">
        <f>SUM('Drug &amp; Alcohol'!$H:$H, 'Drug &amp; Alcohol'!$Q:$Q, 'Drug &amp; Alcohol'!$Z:$Z, 'Drug &amp; Alcohol'!$AI:$AI, 'Drug &amp; Alcohol'!$AR:$AR, 'Drug &amp; Alcohol'!$BA:$BA, 'Drug &amp; Alcohol'!$BJ:$BJ, 'Drug &amp; Alcohol'!$BS:$BS, 'Drug &amp; Alcohol'!$CC:$CC)</f>
        <v>0</v>
      </c>
      <c r="K437" s="84">
        <f>SUM('Mental Health Treatment'!$H:$H, 'Mental Health Treatment'!$Q:$Q, 'Mental Health Treatment'!$Z:$Z, 'Mental Health Treatment'!$AI:$AI, 'Mental Health Treatment'!$AR:$AR, 'Mental Health Treatment'!$BA:$BA, 'Mental Health Treatment'!$BJ:$BJ, 'Mental Health Treatment'!$BS:$BS, 'Mental Health Treatment'!$CC:$CC)</f>
        <v>0</v>
      </c>
    </row>
    <row r="438" spans="1:11">
      <c r="A438" s="227"/>
      <c r="B438" s="182">
        <f>SUM('Non-Treatment Supports General'!$I:$I, 'Non-Treatment Supports General'!$R:$R, 'Non-Treatment Supports General'!$AA:$AA, 'Non-Treatment Supports General'!$AJ:$AJ, 'Non-Treatment Supports General'!$AS:$AS, 'Non-Treatment Supports General'!$BB:$BB, 'Non-Treatment Supports General'!BK:BK, 'Non-Treatment Supports General'!$BT:$BT, 'Non-Treatment Supports General'!$CD:$CD)</f>
        <v>0</v>
      </c>
      <c r="C438" s="176" t="s">
        <v>733</v>
      </c>
      <c r="D438" s="177" t="s">
        <v>222</v>
      </c>
      <c r="E438" s="312"/>
      <c r="I438" s="84">
        <f>SUM('Non-Treatment Supports General'!$I:$I, 'Non-Treatment Supports General'!$R:$R, 'Non-Treatment Supports General'!$AA:$AA, 'Non-Treatment Supports General'!$AJ:$AJ, 'Non-Treatment Supports General'!$AS:$AS, 'Non-Treatment Supports General'!$BB:$BB, 'Non-Treatment Supports General'!BR:BR, 'Non-Treatment Supports General'!$BT:$BT, 'Non-Treatment Supports General'!$CD:$CD)</f>
        <v>0</v>
      </c>
      <c r="J438" s="84">
        <f>SUM('Drug &amp; Alcohol'!$I:$I, 'Drug &amp; Alcohol'!$R:$R, 'Drug &amp; Alcohol'!$AA:$AA, 'Drug &amp; Alcohol'!$AJ:$AJ, 'Drug &amp; Alcohol'!$AS:$AS, 'Drug &amp; Alcohol'!$BB:$BB, 'Drug &amp; Alcohol'!$BK:$BK, 'Drug &amp; Alcohol'!$BT:$BT, 'Drug &amp; Alcohol'!$CD:$CD)</f>
        <v>0</v>
      </c>
      <c r="K438" s="84">
        <f>SUM('Mental Health Treatment'!$I:$I, 'Mental Health Treatment'!$R:$R, 'Mental Health Treatment'!$AA:$AA, 'Mental Health Treatment'!$AJ:$AJ, 'Mental Health Treatment'!$AS:$AS, 'Mental Health Treatment'!$BB:$BB, 'Mental Health Treatment'!$BK:$BK, 'Mental Health Treatment'!$BT:$BT, 'Mental Health Treatment'!$CD:$CD)</f>
        <v>0</v>
      </c>
    </row>
    <row r="439" spans="1:11">
      <c r="A439" s="227"/>
      <c r="B439" s="182">
        <f>SUM('Non-Treatment Supports General'!$J:$J, 'Non-Treatment Supports General'!$S:$S, 'Non-Treatment Supports General'!$AB:$AB, 'Non-Treatment Supports General'!$AK:$AK, 'Non-Treatment Supports General'!$AT:$AT, 'Non-Treatment Supports General'!$BC:$BC, 'Non-Treatment Supports General'!BL:BL, 'Non-Treatment Supports General'!$BU:$BU, 'Non-Treatment Supports General'!$CE:$CE)</f>
        <v>0</v>
      </c>
      <c r="C439" s="79" t="s">
        <v>734</v>
      </c>
      <c r="D439" s="152" t="s">
        <v>222</v>
      </c>
      <c r="E439" s="312"/>
      <c r="I439" s="84">
        <f>SUM('Non-Treatment Supports General'!$J:$J, 'Non-Treatment Supports General'!$S:$S, 'Non-Treatment Supports General'!$AB:$AB, 'Non-Treatment Supports General'!$AK:$AK, 'Non-Treatment Supports General'!$AT:$AT, 'Non-Treatment Supports General'!$BC:$BC, 'Non-Treatment Supports General'!BS:BS, 'Non-Treatment Supports General'!$BU:$BU, 'Non-Treatment Supports General'!$CE:$CE)</f>
        <v>0</v>
      </c>
      <c r="J439" s="84">
        <f>SUM('Drug &amp; Alcohol'!$J:$J, 'Drug &amp; Alcohol'!$S:$S, 'Drug &amp; Alcohol'!$AB:$AB, 'Drug &amp; Alcohol'!$AK:$AK, 'Drug &amp; Alcohol'!$AT:$AT, 'Drug &amp; Alcohol'!$BC:$BC, 'Drug &amp; Alcohol'!$BL:$BL, 'Drug &amp; Alcohol'!$BU:$BU, 'Drug &amp; Alcohol'!$CE:$CE)</f>
        <v>0</v>
      </c>
      <c r="K439" s="84">
        <f>SUM('Mental Health Treatment'!$J:$J, 'Mental Health Treatment'!$S:$S, 'Mental Health Treatment'!$AB:$AB, 'Mental Health Treatment'!$AK:$AK, 'Mental Health Treatment'!$AT:$AT, 'Mental Health Treatment'!$BC:$BC, 'Mental Health Treatment'!$BL:$BL, 'Mental Health Treatment'!$BU:$BU, 'Mental Health Treatment'!$CE:$CE)</f>
        <v>0</v>
      </c>
    </row>
    <row r="440" spans="1:11" ht="24" thickBot="1">
      <c r="A440" s="227"/>
      <c r="B440" s="182">
        <f>SUM('Non-Treatment Supports General'!$K:$K, 'Non-Treatment Supports General'!$T:$T, 'Non-Treatment Supports General'!$AC:$AC, 'Non-Treatment Supports General'!$AL:$AL, 'Non-Treatment Supports General'!$AU:$AU, 'Non-Treatment Supports General'!$BD:$BD, 'Non-Treatment Supports General'!BM:BM, 'Non-Treatment Supports General'!$BV:$BV, 'Non-Treatment Supports General'!$CF:$CF)</f>
        <v>0</v>
      </c>
      <c r="C440" s="176" t="s">
        <v>735</v>
      </c>
      <c r="D440" s="177" t="s">
        <v>222</v>
      </c>
      <c r="E440" s="313"/>
      <c r="I440" s="84">
        <f>SUM('Non-Treatment Supports General'!$K:$K, 'Non-Treatment Supports General'!$T:$T, 'Non-Treatment Supports General'!$AC:$AC, 'Non-Treatment Supports General'!$AL:$AL, 'Non-Treatment Supports General'!$AU:$AU, 'Non-Treatment Supports General'!$BD:$BD, 'Non-Treatment Supports General'!BT:BT, 'Non-Treatment Supports General'!$BV:$BV, 'Non-Treatment Supports General'!$CF:$CF)</f>
        <v>0</v>
      </c>
      <c r="J440" s="84">
        <f>SUM('Drug &amp; Alcohol'!$K:$K, 'Drug &amp; Alcohol'!$T:$T, 'Drug &amp; Alcohol'!$AC:$AC, 'Drug &amp; Alcohol'!$AL:$AL, 'Drug &amp; Alcohol'!$AU:$AU, 'Drug &amp; Alcohol'!$BD:$BD, 'Drug &amp; Alcohol'!$BM:$BM, 'Drug &amp; Alcohol'!$BV:$BV, 'Drug &amp; Alcohol'!$CF:$CF)</f>
        <v>0</v>
      </c>
      <c r="K440" s="84">
        <f>SUM('Mental Health Treatment'!$K:$K, 'Mental Health Treatment'!$T:$T, 'Mental Health Treatment'!$AC:$AC, 'Mental Health Treatment'!$AL:$AL, 'Mental Health Treatment'!$AU:$AU, 'Mental Health Treatment'!$BD:$BD, 'Mental Health Treatment'!$BM:$BM, 'Mental Health Treatment'!$BV:$BV, 'Mental Health Treatment'!$CF:$CF)</f>
        <v>0</v>
      </c>
    </row>
    <row r="441" spans="1:11">
      <c r="A441" s="227"/>
      <c r="B441" s="183">
        <f>SUM('Drug &amp; Alcohol'!$E:$E, 'Drug &amp; Alcohol'!$N:$N, 'Drug &amp; Alcohol'!$W:$W, 'Drug &amp; Alcohol'!$AF:$AF, 'Drug &amp; Alcohol'!$AO:$AO, 'Drug &amp; Alcohol'!$AX:$AX, 'Drug &amp; Alcohol'!$BG:$BG, 'Drug &amp; Alcohol'!$BP:$BP, 'Drug &amp; Alcohol'!$BZ:$BZ)</f>
        <v>0</v>
      </c>
      <c r="C441" s="79" t="s">
        <v>736</v>
      </c>
      <c r="D441" s="152" t="s">
        <v>222</v>
      </c>
      <c r="E441" s="311" t="s">
        <v>737</v>
      </c>
    </row>
    <row r="442" spans="1:11">
      <c r="A442" s="227"/>
      <c r="B442" s="183">
        <f>SUM('Drug &amp; Alcohol'!$F:$F, 'Drug &amp; Alcohol'!$O:$O, 'Drug &amp; Alcohol'!$X:$X, 'Drug &amp; Alcohol'!$AG:$AG, 'Drug &amp; Alcohol'!$AP:$AP, 'Drug &amp; Alcohol'!$AY:$AY, 'Drug &amp; Alcohol'!$BH:$BH, 'Drug &amp; Alcohol'!$BQ:$BQ, 'Drug &amp; Alcohol'!$CA:$CA)</f>
        <v>0</v>
      </c>
      <c r="C442" s="176" t="s">
        <v>738</v>
      </c>
      <c r="D442" s="177" t="s">
        <v>222</v>
      </c>
      <c r="E442" s="312"/>
    </row>
    <row r="443" spans="1:11">
      <c r="A443" s="227"/>
      <c r="B443" s="183">
        <f>SUM('Drug &amp; Alcohol'!$G:$G, 'Drug &amp; Alcohol'!$P:$P, 'Drug &amp; Alcohol'!$Y:$Y, 'Drug &amp; Alcohol'!$AH:$AH, 'Drug &amp; Alcohol'!$AQ:$AQ, 'Drug &amp; Alcohol'!$AZ:$AZ, 'Drug &amp; Alcohol'!$BI:$BI, 'Drug &amp; Alcohol'!$BR:$BR, 'Drug &amp; Alcohol'!$CB:$CB)</f>
        <v>0</v>
      </c>
      <c r="C443" s="79" t="s">
        <v>739</v>
      </c>
      <c r="D443" s="152" t="s">
        <v>222</v>
      </c>
      <c r="E443" s="312"/>
    </row>
    <row r="444" spans="1:11">
      <c r="A444" s="227"/>
      <c r="B444" s="183">
        <f>SUM('Drug &amp; Alcohol'!$H:$H, 'Drug &amp; Alcohol'!$Q:$Q, 'Drug &amp; Alcohol'!$Z:$Z, 'Drug &amp; Alcohol'!$AI:$AI, 'Drug &amp; Alcohol'!$AR:$AR, 'Drug &amp; Alcohol'!$BA:$BA, 'Drug &amp; Alcohol'!$BJ:$BJ, 'Drug &amp; Alcohol'!$BS:$BS, 'Drug &amp; Alcohol'!$CC:$CC)</f>
        <v>0</v>
      </c>
      <c r="C444" s="176" t="s">
        <v>740</v>
      </c>
      <c r="D444" s="177" t="s">
        <v>222</v>
      </c>
      <c r="E444" s="312"/>
    </row>
    <row r="445" spans="1:11">
      <c r="A445" s="227"/>
      <c r="B445" s="183">
        <f>SUM('Drug &amp; Alcohol'!$I:$I, 'Drug &amp; Alcohol'!$R:$R, 'Drug &amp; Alcohol'!$AA:$AA, 'Drug &amp; Alcohol'!$AJ:$AJ, 'Drug &amp; Alcohol'!$AS:$AS, 'Drug &amp; Alcohol'!$BB:$BB, 'Drug &amp; Alcohol'!$BK:$BK, 'Drug &amp; Alcohol'!$BT:$BT, 'Drug &amp; Alcohol'!$CD:$CD)</f>
        <v>0</v>
      </c>
      <c r="C445" s="79" t="s">
        <v>741</v>
      </c>
      <c r="D445" s="152" t="s">
        <v>222</v>
      </c>
      <c r="E445" s="312"/>
    </row>
    <row r="446" spans="1:11">
      <c r="A446" s="227"/>
      <c r="B446" s="183">
        <f>SUM('Drug &amp; Alcohol'!$J:$J, 'Drug &amp; Alcohol'!$S:$S, 'Drug &amp; Alcohol'!$AB:$AB, 'Drug &amp; Alcohol'!$AK:$AK, 'Drug &amp; Alcohol'!$AT:$AT, 'Drug &amp; Alcohol'!$BC:$BC, 'Drug &amp; Alcohol'!$BL:$BL, 'Drug &amp; Alcohol'!$BU:$BU, 'Drug &amp; Alcohol'!$CE:$CE)</f>
        <v>0</v>
      </c>
      <c r="C446" s="176" t="s">
        <v>742</v>
      </c>
      <c r="D446" s="177" t="s">
        <v>222</v>
      </c>
      <c r="E446" s="312"/>
    </row>
    <row r="447" spans="1:11" ht="24" thickBot="1">
      <c r="A447" s="227"/>
      <c r="B447" s="183">
        <f>SUM('Drug &amp; Alcohol'!$K:$K, 'Drug &amp; Alcohol'!$T:$T, 'Drug &amp; Alcohol'!$AC:$AC, 'Drug &amp; Alcohol'!$AL:$AL, 'Drug &amp; Alcohol'!$AU:$AU, 'Drug &amp; Alcohol'!$BD:$BD, 'Drug &amp; Alcohol'!$BM:$BM, 'Drug &amp; Alcohol'!$BV:$BV, 'Drug &amp; Alcohol'!$CF:$CF)</f>
        <v>0</v>
      </c>
      <c r="C447" s="79" t="s">
        <v>743</v>
      </c>
      <c r="D447" s="152" t="s">
        <v>222</v>
      </c>
      <c r="E447" s="313"/>
    </row>
    <row r="448" spans="1:11">
      <c r="A448" s="227"/>
      <c r="B448" s="191">
        <f>SUM('Mental Health Treatment'!$E:$E, 'Mental Health Treatment'!$N:$N, 'Mental Health Treatment'!$W:$W, 'Mental Health Treatment'!$AF:$AF, 'Mental Health Treatment'!$AO:$AO, 'Mental Health Treatment'!$AX:$AX, 'Mental Health Treatment'!$BG:$BG, 'Mental Health Treatment'!$BP:$BP, 'Mental Health Treatment'!$BZ:$BZ)</f>
        <v>0</v>
      </c>
      <c r="C448" s="176" t="s">
        <v>744</v>
      </c>
      <c r="D448" s="177" t="s">
        <v>222</v>
      </c>
      <c r="E448" s="311" t="s">
        <v>745</v>
      </c>
    </row>
    <row r="449" spans="1:5">
      <c r="A449" s="227"/>
      <c r="B449" s="191">
        <f>SUM('Mental Health Treatment'!$F:$F, 'Mental Health Treatment'!$O:$O, 'Mental Health Treatment'!$X:$X, 'Mental Health Treatment'!$AG:$AG, 'Mental Health Treatment'!$AP:$AP, 'Mental Health Treatment'!$AY:$AY, 'Mental Health Treatment'!$BH:$BH, 'Mental Health Treatment'!$BQ:$BQ, 'Mental Health Treatment'!$CA:$CA)</f>
        <v>0</v>
      </c>
      <c r="C449" s="79" t="s">
        <v>746</v>
      </c>
      <c r="D449" s="152" t="s">
        <v>222</v>
      </c>
      <c r="E449" s="312"/>
    </row>
    <row r="450" spans="1:5">
      <c r="A450" s="227"/>
      <c r="B450" s="191">
        <f>SUM('Mental Health Treatment'!$G:$G, 'Mental Health Treatment'!$P:$P, 'Mental Health Treatment'!$Y:$Y, 'Mental Health Treatment'!$AH:$AH, 'Mental Health Treatment'!$AQ:$AQ, 'Mental Health Treatment'!$AZ:$AZ, 'Mental Health Treatment'!$BI:$BI, 'Mental Health Treatment'!$BR:$BR, 'Mental Health Treatment'!$CB:$CB)</f>
        <v>0</v>
      </c>
      <c r="C450" s="176" t="s">
        <v>747</v>
      </c>
      <c r="D450" s="177" t="s">
        <v>222</v>
      </c>
      <c r="E450" s="312"/>
    </row>
    <row r="451" spans="1:5">
      <c r="A451" s="227"/>
      <c r="B451" s="191">
        <f>SUM('Mental Health Treatment'!$H:$H, 'Mental Health Treatment'!$Q:$Q, 'Mental Health Treatment'!$Z:$Z, 'Mental Health Treatment'!$AI:$AI, 'Mental Health Treatment'!$AR:$AR, 'Mental Health Treatment'!$BA:$BA, 'Mental Health Treatment'!$BJ:$BJ, 'Mental Health Treatment'!$BS:$BS, 'Mental Health Treatment'!$CC:$CC)</f>
        <v>0</v>
      </c>
      <c r="C451" s="79" t="s">
        <v>748</v>
      </c>
      <c r="D451" s="152" t="s">
        <v>222</v>
      </c>
      <c r="E451" s="312"/>
    </row>
    <row r="452" spans="1:5">
      <c r="A452" s="227"/>
      <c r="B452" s="191">
        <f>SUM('Mental Health Treatment'!$I:$I, 'Mental Health Treatment'!$R:$R, 'Mental Health Treatment'!$AA:$AA, 'Mental Health Treatment'!$AJ:$AJ, 'Mental Health Treatment'!$AS:$AS, 'Mental Health Treatment'!$BB:$BB, 'Mental Health Treatment'!$BK:$BK, 'Mental Health Treatment'!$BT:$BT, 'Mental Health Treatment'!$CD:$CD)</f>
        <v>0</v>
      </c>
      <c r="C452" s="176" t="s">
        <v>749</v>
      </c>
      <c r="D452" s="177" t="s">
        <v>222</v>
      </c>
      <c r="E452" s="312"/>
    </row>
    <row r="453" spans="1:5">
      <c r="A453" s="227"/>
      <c r="B453" s="191">
        <f>SUM('Mental Health Treatment'!$J:$J, 'Mental Health Treatment'!$S:$S, 'Mental Health Treatment'!$AB:$AB, 'Mental Health Treatment'!$AK:$AK, 'Mental Health Treatment'!$AT:$AT, 'Mental Health Treatment'!$BC:$BC, 'Mental Health Treatment'!$BL:$BL, 'Mental Health Treatment'!$BU:$BU, 'Mental Health Treatment'!$CE:$CE)</f>
        <v>0</v>
      </c>
      <c r="C453" s="79" t="s">
        <v>750</v>
      </c>
      <c r="D453" s="152" t="s">
        <v>222</v>
      </c>
      <c r="E453" s="312"/>
    </row>
    <row r="454" spans="1:5" ht="24" thickBot="1">
      <c r="A454" s="228"/>
      <c r="B454" s="191">
        <f>SUM('Mental Health Treatment'!$K:$K, 'Mental Health Treatment'!$T:$T, 'Mental Health Treatment'!$AC:$AC, 'Mental Health Treatment'!$AL:$AL, 'Mental Health Treatment'!$AU:$AU, 'Mental Health Treatment'!$BD:$BD, 'Mental Health Treatment'!$BM:$BM, 'Mental Health Treatment'!$BV:$BV, 'Mental Health Treatment'!$CF:$CF)</f>
        <v>0</v>
      </c>
      <c r="C454" s="176" t="s">
        <v>751</v>
      </c>
      <c r="D454" s="177" t="s">
        <v>222</v>
      </c>
      <c r="E454" s="313"/>
    </row>
  </sheetData>
  <sheetProtection algorithmName="SHA-512" hashValue="yxsmFsEnK3oVfIq3imk4os3wf94vWfnCDZEyYiTzmC/wWSibUa7eYI8jKGNdXsZDw+tQM58Bi/VpKSzwMNRGcA==" saltValue="Nkpjip/1KbQjvKwiR2qpSA==" spinCount="100000" sheet="1" objects="1" scenarios="1"/>
  <mergeCells count="501">
    <mergeCell ref="E271:E324"/>
    <mergeCell ref="E325:E378"/>
    <mergeCell ref="E379:E432"/>
    <mergeCell ref="A433:E433"/>
    <mergeCell ref="E434:E440"/>
    <mergeCell ref="E441:E447"/>
    <mergeCell ref="E448:E454"/>
    <mergeCell ref="H123:K123"/>
    <mergeCell ref="G124:G131"/>
    <mergeCell ref="E149:E175"/>
    <mergeCell ref="A176:E176"/>
    <mergeCell ref="A184:E184"/>
    <mergeCell ref="A185:E185"/>
    <mergeCell ref="A186:E186"/>
    <mergeCell ref="E187:E249"/>
    <mergeCell ref="A250:E250"/>
    <mergeCell ref="E251:E253"/>
    <mergeCell ref="E254:E256"/>
    <mergeCell ref="E257:E259"/>
    <mergeCell ref="A260:E260"/>
    <mergeCell ref="E261:E263"/>
    <mergeCell ref="E264:E266"/>
    <mergeCell ref="E267:E269"/>
    <mergeCell ref="A270:E270"/>
    <mergeCell ref="L111:N111"/>
    <mergeCell ref="O111:Q111"/>
    <mergeCell ref="I112:K112"/>
    <mergeCell ref="L112:N112"/>
    <mergeCell ref="O112:Q112"/>
    <mergeCell ref="S98:T107"/>
    <mergeCell ref="G99:G107"/>
    <mergeCell ref="H99:H101"/>
    <mergeCell ref="I99:K99"/>
    <mergeCell ref="L99:N99"/>
    <mergeCell ref="O99:Q99"/>
    <mergeCell ref="I100:K100"/>
    <mergeCell ref="L100:N100"/>
    <mergeCell ref="O100:Q100"/>
    <mergeCell ref="H73:K73"/>
    <mergeCell ref="G74:G77"/>
    <mergeCell ref="H80:K80"/>
    <mergeCell ref="G81:G84"/>
    <mergeCell ref="A84:E84"/>
    <mergeCell ref="E85:E87"/>
    <mergeCell ref="H87:Q87"/>
    <mergeCell ref="E88:E90"/>
    <mergeCell ref="G88:G95"/>
    <mergeCell ref="H88:H90"/>
    <mergeCell ref="I88:K88"/>
    <mergeCell ref="L88:N88"/>
    <mergeCell ref="O88:Q88"/>
    <mergeCell ref="I89:K89"/>
    <mergeCell ref="L89:N89"/>
    <mergeCell ref="O89:Q89"/>
    <mergeCell ref="E91:E93"/>
    <mergeCell ref="A94:E94"/>
    <mergeCell ref="E95:E121"/>
    <mergeCell ref="H98:Q98"/>
    <mergeCell ref="H110:Q110"/>
    <mergeCell ref="G111:G120"/>
    <mergeCell ref="H111:H113"/>
    <mergeCell ref="I111:K111"/>
    <mergeCell ref="H27:K27"/>
    <mergeCell ref="G28:G31"/>
    <mergeCell ref="H34:Q34"/>
    <mergeCell ref="G35:G46"/>
    <mergeCell ref="H35:H37"/>
    <mergeCell ref="I35:K35"/>
    <mergeCell ref="L35:N35"/>
    <mergeCell ref="O35:Q35"/>
    <mergeCell ref="I36:K36"/>
    <mergeCell ref="L36:N36"/>
    <mergeCell ref="O36:Q36"/>
    <mergeCell ref="G49:G57"/>
    <mergeCell ref="H49:I49"/>
    <mergeCell ref="H60:Q60"/>
    <mergeCell ref="G61:G69"/>
    <mergeCell ref="I61:K61"/>
    <mergeCell ref="L61:N61"/>
    <mergeCell ref="O61:Q61"/>
    <mergeCell ref="APF8:APJ8"/>
    <mergeCell ref="APK8:APO8"/>
    <mergeCell ref="ALE8:ALI8"/>
    <mergeCell ref="ALJ8:ALN8"/>
    <mergeCell ref="ABJ8:ABN8"/>
    <mergeCell ref="ABO8:ABS8"/>
    <mergeCell ref="ABT8:ABX8"/>
    <mergeCell ref="ABY8:ACC8"/>
    <mergeCell ref="ACD8:ACH8"/>
    <mergeCell ref="ACI8:ACM8"/>
    <mergeCell ref="ACN8:ACR8"/>
    <mergeCell ref="ACS8:ACW8"/>
    <mergeCell ref="ACX8:ADB8"/>
    <mergeCell ref="ADC8:ADG8"/>
    <mergeCell ref="ADH8:ADL8"/>
    <mergeCell ref="ADM8:ADQ8"/>
    <mergeCell ref="ADR8:ADV8"/>
    <mergeCell ref="APP8:APT8"/>
    <mergeCell ref="APU8:APY8"/>
    <mergeCell ref="APZ8:AQD8"/>
    <mergeCell ref="AQE8:AQI8"/>
    <mergeCell ref="H9:K9"/>
    <mergeCell ref="H10:K10"/>
    <mergeCell ref="E11:E12"/>
    <mergeCell ref="H11:K11"/>
    <mergeCell ref="H12:K12"/>
    <mergeCell ref="AIH8:AIL8"/>
    <mergeCell ref="AIM8:AIQ8"/>
    <mergeCell ref="AIR8:AIV8"/>
    <mergeCell ref="AIW8:AJA8"/>
    <mergeCell ref="AJB8:AJF8"/>
    <mergeCell ref="AJG8:AJK8"/>
    <mergeCell ref="AJL8:AJP8"/>
    <mergeCell ref="AJQ8:AJU8"/>
    <mergeCell ref="AJV8:AJZ8"/>
    <mergeCell ref="AKA8:AKE8"/>
    <mergeCell ref="AKF8:AKJ8"/>
    <mergeCell ref="AKK8:AKO8"/>
    <mergeCell ref="AKP8:AKT8"/>
    <mergeCell ref="AKU8:AKY8"/>
    <mergeCell ref="AKZ8:ALD8"/>
    <mergeCell ref="YH8:YL8"/>
    <mergeCell ref="YM8:YQ8"/>
    <mergeCell ref="YR8:YV8"/>
    <mergeCell ref="A14:E14"/>
    <mergeCell ref="A15:E15"/>
    <mergeCell ref="H15:Q15"/>
    <mergeCell ref="G16:G24"/>
    <mergeCell ref="I16:K16"/>
    <mergeCell ref="L16:N16"/>
    <mergeCell ref="O16:Q16"/>
    <mergeCell ref="A18:E18"/>
    <mergeCell ref="A19:E19"/>
    <mergeCell ref="A20:E20"/>
    <mergeCell ref="JC8:JG8"/>
    <mergeCell ref="JH8:JL8"/>
    <mergeCell ref="PG8:PK8"/>
    <mergeCell ref="PL8:PP8"/>
    <mergeCell ref="PQ8:PU8"/>
    <mergeCell ref="PV8:PZ8"/>
    <mergeCell ref="QA8:QE8"/>
    <mergeCell ref="QF8:QJ8"/>
    <mergeCell ref="QK8:QO8"/>
    <mergeCell ref="NN8:NR8"/>
    <mergeCell ref="NS8:NW8"/>
    <mergeCell ref="APU7:APY7"/>
    <mergeCell ref="AJG7:AJK7"/>
    <mergeCell ref="AJL7:AJP7"/>
    <mergeCell ref="AJQ7:AJU7"/>
    <mergeCell ref="AJV7:AJZ7"/>
    <mergeCell ref="AKA7:AKE7"/>
    <mergeCell ref="AKF7:AKJ7"/>
    <mergeCell ref="AKK7:AKO7"/>
    <mergeCell ref="AKP7:AKT7"/>
    <mergeCell ref="AKU7:AKY7"/>
    <mergeCell ref="AKZ7:ALD7"/>
    <mergeCell ref="ALE7:ALI7"/>
    <mergeCell ref="ALJ7:ALN7"/>
    <mergeCell ref="ALO7:ALS7"/>
    <mergeCell ref="ALT7:ALX7"/>
    <mergeCell ref="ALY7:AMC7"/>
    <mergeCell ref="AMX7:ANB7"/>
    <mergeCell ref="ANC7:ANG7"/>
    <mergeCell ref="ANH7:ANL7"/>
    <mergeCell ref="ANM7:ANQ7"/>
    <mergeCell ref="ANR7:ANV7"/>
    <mergeCell ref="ANW7:AOA7"/>
    <mergeCell ref="AOB7:AOF7"/>
    <mergeCell ref="AOG7:AOK7"/>
    <mergeCell ref="NX8:OB8"/>
    <mergeCell ref="OC8:OG8"/>
    <mergeCell ref="OH8:OL8"/>
    <mergeCell ref="OM8:OQ8"/>
    <mergeCell ref="OR8:OV8"/>
    <mergeCell ref="OW8:PA8"/>
    <mergeCell ref="PB8:PF8"/>
    <mergeCell ref="AEL7:AEP7"/>
    <mergeCell ref="AEQ7:AEU7"/>
    <mergeCell ref="YM7:YQ7"/>
    <mergeCell ref="YR7:YV7"/>
    <mergeCell ref="YW7:ZA7"/>
    <mergeCell ref="ZB7:ZF7"/>
    <mergeCell ref="ZG7:ZK7"/>
    <mergeCell ref="UQ8:UU8"/>
    <mergeCell ref="UV8:UZ8"/>
    <mergeCell ref="VA8:VE8"/>
    <mergeCell ref="VF8:VJ8"/>
    <mergeCell ref="VK8:VO8"/>
    <mergeCell ref="VP8:VT8"/>
    <mergeCell ref="VU8:VY8"/>
    <mergeCell ref="VZ8:WD8"/>
    <mergeCell ref="OH7:OL7"/>
    <mergeCell ref="OM7:OQ7"/>
    <mergeCell ref="APZ7:AQD7"/>
    <mergeCell ref="AQE7:AQI7"/>
    <mergeCell ref="A8:E8"/>
    <mergeCell ref="H8:K8"/>
    <mergeCell ref="FQ8:FU8"/>
    <mergeCell ref="FV8:FZ8"/>
    <mergeCell ref="GA8:GE8"/>
    <mergeCell ref="GF8:GJ8"/>
    <mergeCell ref="GK8:GO8"/>
    <mergeCell ref="GP8:GT8"/>
    <mergeCell ref="GU8:GY8"/>
    <mergeCell ref="GZ8:HD8"/>
    <mergeCell ref="HE8:HI8"/>
    <mergeCell ref="HJ8:HN8"/>
    <mergeCell ref="HO8:HS8"/>
    <mergeCell ref="HT8:HX8"/>
    <mergeCell ref="HY8:IC8"/>
    <mergeCell ref="ID8:IH8"/>
    <mergeCell ref="II8:IM8"/>
    <mergeCell ref="IN8:IR8"/>
    <mergeCell ref="IS8:IW8"/>
    <mergeCell ref="IX8:JB8"/>
    <mergeCell ref="XX7:YB7"/>
    <mergeCell ref="YC7:YG7"/>
    <mergeCell ref="JM8:JQ8"/>
    <mergeCell ref="JR8:JV8"/>
    <mergeCell ref="JW8:KA8"/>
    <mergeCell ref="KB8:KF8"/>
    <mergeCell ref="KG8:KK8"/>
    <mergeCell ref="KL8:KP8"/>
    <mergeCell ref="KQ8:KU8"/>
    <mergeCell ref="QP8:QT8"/>
    <mergeCell ref="UL8:UP8"/>
    <mergeCell ref="RJ8:RN8"/>
    <mergeCell ref="RO8:RS8"/>
    <mergeCell ref="RT8:RX8"/>
    <mergeCell ref="RY8:SC8"/>
    <mergeCell ref="SD8:SH8"/>
    <mergeCell ref="SI8:SM8"/>
    <mergeCell ref="SN8:SR8"/>
    <mergeCell ref="SS8:SW8"/>
    <mergeCell ref="SX8:TB8"/>
    <mergeCell ref="TC8:TG8"/>
    <mergeCell ref="TH8:TL8"/>
    <mergeCell ref="TM8:TQ8"/>
    <mergeCell ref="TR8:TV8"/>
    <mergeCell ref="TW8:UA8"/>
    <mergeCell ref="UB8:UF8"/>
    <mergeCell ref="H1:Q1"/>
    <mergeCell ref="A2:E2"/>
    <mergeCell ref="A3:E3"/>
    <mergeCell ref="G3:G12"/>
    <mergeCell ref="H3:L3"/>
    <mergeCell ref="H4:K4"/>
    <mergeCell ref="H5:K5"/>
    <mergeCell ref="H6:K6"/>
    <mergeCell ref="A7:E7"/>
    <mergeCell ref="H7:L7"/>
    <mergeCell ref="FQ7:FU7"/>
    <mergeCell ref="FV7:FZ7"/>
    <mergeCell ref="GA7:GE7"/>
    <mergeCell ref="GF7:GJ7"/>
    <mergeCell ref="GK7:GO7"/>
    <mergeCell ref="GP7:GT7"/>
    <mergeCell ref="GU7:GY7"/>
    <mergeCell ref="GZ7:HD7"/>
    <mergeCell ref="HE7:HI7"/>
    <mergeCell ref="HJ7:HN7"/>
    <mergeCell ref="HO7:HS7"/>
    <mergeCell ref="HT7:HX7"/>
    <mergeCell ref="HY7:IC7"/>
    <mergeCell ref="ID7:IH7"/>
    <mergeCell ref="II7:IM7"/>
    <mergeCell ref="IN7:IR7"/>
    <mergeCell ref="IS7:IW7"/>
    <mergeCell ref="IX7:JB7"/>
    <mergeCell ref="JC7:JG7"/>
    <mergeCell ref="JH7:JL7"/>
    <mergeCell ref="JM7:JQ7"/>
    <mergeCell ref="JR7:JV7"/>
    <mergeCell ref="JW7:KA7"/>
    <mergeCell ref="KB7:KF7"/>
    <mergeCell ref="KG7:KK7"/>
    <mergeCell ref="KL7:KP7"/>
    <mergeCell ref="KQ7:KU7"/>
    <mergeCell ref="KV7:KZ7"/>
    <mergeCell ref="LA7:LE7"/>
    <mergeCell ref="LF7:LJ7"/>
    <mergeCell ref="LK7:LO7"/>
    <mergeCell ref="LP7:LT7"/>
    <mergeCell ref="LU7:LY7"/>
    <mergeCell ref="LZ7:MD7"/>
    <mergeCell ref="ME7:MI7"/>
    <mergeCell ref="MJ7:MN7"/>
    <mergeCell ref="MO7:MS7"/>
    <mergeCell ref="MT7:MX7"/>
    <mergeCell ref="MY7:NC7"/>
    <mergeCell ref="ND7:NH7"/>
    <mergeCell ref="NI7:NM7"/>
    <mergeCell ref="NN7:NR7"/>
    <mergeCell ref="NS7:NW7"/>
    <mergeCell ref="NX7:OB7"/>
    <mergeCell ref="OC7:OG7"/>
    <mergeCell ref="OR7:OV7"/>
    <mergeCell ref="OW7:PA7"/>
    <mergeCell ref="PB7:PF7"/>
    <mergeCell ref="PG7:PK7"/>
    <mergeCell ref="PL7:PP7"/>
    <mergeCell ref="PQ7:PU7"/>
    <mergeCell ref="PV7:PZ7"/>
    <mergeCell ref="QA7:QE7"/>
    <mergeCell ref="QF7:QJ7"/>
    <mergeCell ref="QK7:QO7"/>
    <mergeCell ref="QP7:QT7"/>
    <mergeCell ref="QU7:QY7"/>
    <mergeCell ref="QZ7:RD7"/>
    <mergeCell ref="RE7:RI7"/>
    <mergeCell ref="RJ7:RN7"/>
    <mergeCell ref="RO7:RS7"/>
    <mergeCell ref="RT7:RX7"/>
    <mergeCell ref="RY7:SC7"/>
    <mergeCell ref="SD7:SH7"/>
    <mergeCell ref="SI7:SM7"/>
    <mergeCell ref="SN7:SR7"/>
    <mergeCell ref="SS7:SW7"/>
    <mergeCell ref="SX7:TB7"/>
    <mergeCell ref="TC7:TG7"/>
    <mergeCell ref="TH7:TL7"/>
    <mergeCell ref="TM7:TQ7"/>
    <mergeCell ref="TR7:TV7"/>
    <mergeCell ref="TW7:UA7"/>
    <mergeCell ref="UB7:UF7"/>
    <mergeCell ref="UG7:UK7"/>
    <mergeCell ref="UL7:UP7"/>
    <mergeCell ref="UQ7:UU7"/>
    <mergeCell ref="UV7:UZ7"/>
    <mergeCell ref="YH7:YL7"/>
    <mergeCell ref="VA7:VE7"/>
    <mergeCell ref="VF7:VJ7"/>
    <mergeCell ref="VK7:VO7"/>
    <mergeCell ref="VP7:VT7"/>
    <mergeCell ref="VU7:VY7"/>
    <mergeCell ref="VZ7:WD7"/>
    <mergeCell ref="WE7:WI7"/>
    <mergeCell ref="WJ7:WN7"/>
    <mergeCell ref="WO7:WS7"/>
    <mergeCell ref="WT7:WX7"/>
    <mergeCell ref="WY7:XC7"/>
    <mergeCell ref="XD7:XH7"/>
    <mergeCell ref="XI7:XM7"/>
    <mergeCell ref="XN7:XR7"/>
    <mergeCell ref="XS7:XW7"/>
    <mergeCell ref="ZL7:ZP7"/>
    <mergeCell ref="ZQ7:ZU7"/>
    <mergeCell ref="ZV7:ZZ7"/>
    <mergeCell ref="AAA7:AAE7"/>
    <mergeCell ref="AAF7:AAJ7"/>
    <mergeCell ref="AAK7:AAO7"/>
    <mergeCell ref="AAP7:AAT7"/>
    <mergeCell ref="AAU7:AAY7"/>
    <mergeCell ref="AAZ7:ABD7"/>
    <mergeCell ref="ABE7:ABI7"/>
    <mergeCell ref="ABJ7:ABN7"/>
    <mergeCell ref="ABO7:ABS7"/>
    <mergeCell ref="ABT7:ABX7"/>
    <mergeCell ref="AFF7:AFJ7"/>
    <mergeCell ref="AFK7:AFO7"/>
    <mergeCell ref="AFP7:AFT7"/>
    <mergeCell ref="AFU7:AFY7"/>
    <mergeCell ref="AFZ7:AGD7"/>
    <mergeCell ref="AEV7:AEZ7"/>
    <mergeCell ref="AFA7:AFE7"/>
    <mergeCell ref="ABY7:ACC7"/>
    <mergeCell ref="ACD7:ACH7"/>
    <mergeCell ref="ACI7:ACM7"/>
    <mergeCell ref="ACN7:ACR7"/>
    <mergeCell ref="ACS7:ACW7"/>
    <mergeCell ref="ACX7:ADB7"/>
    <mergeCell ref="ADC7:ADG7"/>
    <mergeCell ref="ADH7:ADL7"/>
    <mergeCell ref="ADM7:ADQ7"/>
    <mergeCell ref="ADR7:ADV7"/>
    <mergeCell ref="ADW7:AEA7"/>
    <mergeCell ref="AEB7:AEF7"/>
    <mergeCell ref="AEG7:AEK7"/>
    <mergeCell ref="AGE7:AGI7"/>
    <mergeCell ref="AGJ7:AGN7"/>
    <mergeCell ref="AGO7:AGS7"/>
    <mergeCell ref="AGT7:AGX7"/>
    <mergeCell ref="AGY7:AHC7"/>
    <mergeCell ref="AHD7:AHH7"/>
    <mergeCell ref="AHI7:AHM7"/>
    <mergeCell ref="AHN7:AHR7"/>
    <mergeCell ref="AHS7:AHW7"/>
    <mergeCell ref="AHX7:AIB7"/>
    <mergeCell ref="AIC7:AIG7"/>
    <mergeCell ref="AIH7:AIL7"/>
    <mergeCell ref="AIM7:AIQ7"/>
    <mergeCell ref="AIR7:AIV7"/>
    <mergeCell ref="AMD7:AMH7"/>
    <mergeCell ref="AMI7:AMM7"/>
    <mergeCell ref="AMN7:AMR7"/>
    <mergeCell ref="AMS7:AMW7"/>
    <mergeCell ref="AIW7:AJA7"/>
    <mergeCell ref="AJB7:AJF7"/>
    <mergeCell ref="AOL7:AOP7"/>
    <mergeCell ref="AOQ7:AOU7"/>
    <mergeCell ref="AOV7:AOZ7"/>
    <mergeCell ref="APA7:APE7"/>
    <mergeCell ref="APF7:APJ7"/>
    <mergeCell ref="APK7:APO7"/>
    <mergeCell ref="APP7:APT7"/>
    <mergeCell ref="KV8:KZ8"/>
    <mergeCell ref="LA8:LE8"/>
    <mergeCell ref="LF8:LJ8"/>
    <mergeCell ref="LK8:LO8"/>
    <mergeCell ref="LP8:LT8"/>
    <mergeCell ref="LU8:LY8"/>
    <mergeCell ref="LZ8:MD8"/>
    <mergeCell ref="ME8:MI8"/>
    <mergeCell ref="MJ8:MN8"/>
    <mergeCell ref="MO8:MS8"/>
    <mergeCell ref="MT8:MX8"/>
    <mergeCell ref="MY8:NC8"/>
    <mergeCell ref="ND8:NH8"/>
    <mergeCell ref="NI8:NM8"/>
    <mergeCell ref="QU8:QY8"/>
    <mergeCell ref="QZ8:RD8"/>
    <mergeCell ref="RE8:RI8"/>
    <mergeCell ref="UG8:UK8"/>
    <mergeCell ref="XS8:XW8"/>
    <mergeCell ref="XX8:YB8"/>
    <mergeCell ref="YC8:YG8"/>
    <mergeCell ref="WE8:WI8"/>
    <mergeCell ref="WJ8:WN8"/>
    <mergeCell ref="WO8:WS8"/>
    <mergeCell ref="WT8:WX8"/>
    <mergeCell ref="WY8:XC8"/>
    <mergeCell ref="XD8:XH8"/>
    <mergeCell ref="XI8:XM8"/>
    <mergeCell ref="XN8:XR8"/>
    <mergeCell ref="ABE8:ABI8"/>
    <mergeCell ref="AEQ8:AEU8"/>
    <mergeCell ref="AEV8:AEZ8"/>
    <mergeCell ref="AFA8:AFE8"/>
    <mergeCell ref="AFF8:AFJ8"/>
    <mergeCell ref="AFK8:AFO8"/>
    <mergeCell ref="YW8:ZA8"/>
    <mergeCell ref="ZB8:ZF8"/>
    <mergeCell ref="ZG8:ZK8"/>
    <mergeCell ref="ZL8:ZP8"/>
    <mergeCell ref="ZQ8:ZU8"/>
    <mergeCell ref="ZV8:ZZ8"/>
    <mergeCell ref="AAA8:AAE8"/>
    <mergeCell ref="AAF8:AAJ8"/>
    <mergeCell ref="AAK8:AAO8"/>
    <mergeCell ref="ADW8:AEA8"/>
    <mergeCell ref="AEB8:AEF8"/>
    <mergeCell ref="AEG8:AEK8"/>
    <mergeCell ref="AEL8:AEP8"/>
    <mergeCell ref="AOV8:AOZ8"/>
    <mergeCell ref="APA8:APE8"/>
    <mergeCell ref="A177:A183"/>
    <mergeCell ref="E177:E183"/>
    <mergeCell ref="A95:A175"/>
    <mergeCell ref="A21:A83"/>
    <mergeCell ref="E21:E83"/>
    <mergeCell ref="A85:A93"/>
    <mergeCell ref="E122:E148"/>
    <mergeCell ref="AMI8:AMM8"/>
    <mergeCell ref="AMN8:AMR8"/>
    <mergeCell ref="AMS8:AMW8"/>
    <mergeCell ref="AMX8:ANB8"/>
    <mergeCell ref="ANC8:ANG8"/>
    <mergeCell ref="ANH8:ANL8"/>
    <mergeCell ref="ANM8:ANQ8"/>
    <mergeCell ref="ANR8:ANV8"/>
    <mergeCell ref="ANW8:AOA8"/>
    <mergeCell ref="AHI8:AHM8"/>
    <mergeCell ref="AHN8:AHR8"/>
    <mergeCell ref="AHS8:AHW8"/>
    <mergeCell ref="AHX8:AIB8"/>
    <mergeCell ref="AIC8:AIG8"/>
    <mergeCell ref="ALO8:ALS8"/>
    <mergeCell ref="A271:A432"/>
    <mergeCell ref="A434:A454"/>
    <mergeCell ref="A261:A269"/>
    <mergeCell ref="A187:A249"/>
    <mergeCell ref="A251:A259"/>
    <mergeCell ref="AOB8:AOF8"/>
    <mergeCell ref="AOG8:AOK8"/>
    <mergeCell ref="AOL8:AOP8"/>
    <mergeCell ref="AOQ8:AOU8"/>
    <mergeCell ref="ALT8:ALX8"/>
    <mergeCell ref="ALY8:AMC8"/>
    <mergeCell ref="AMD8:AMH8"/>
    <mergeCell ref="AFP8:AFT8"/>
    <mergeCell ref="AFU8:AFY8"/>
    <mergeCell ref="AFZ8:AGD8"/>
    <mergeCell ref="AGE8:AGI8"/>
    <mergeCell ref="AGJ8:AGN8"/>
    <mergeCell ref="AGO8:AGS8"/>
    <mergeCell ref="AGT8:AGX8"/>
    <mergeCell ref="AGY8:AHC8"/>
    <mergeCell ref="AHD8:AHH8"/>
    <mergeCell ref="AAP8:AAT8"/>
    <mergeCell ref="AAU8:AAY8"/>
    <mergeCell ref="AAZ8:ABD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68CF0-E4C3-4C81-B6F5-EED5CADCF6D2}">
  <dimension ref="A1:H53"/>
  <sheetViews>
    <sheetView topLeftCell="C1" workbookViewId="0">
      <selection activeCell="H2" sqref="H2"/>
    </sheetView>
  </sheetViews>
  <sheetFormatPr defaultColWidth="8.85546875" defaultRowHeight="15"/>
  <cols>
    <col min="1" max="1" width="12.28515625" bestFit="1" customWidth="1"/>
    <col min="2" max="2" width="15" bestFit="1" customWidth="1"/>
    <col min="3" max="3" width="33" bestFit="1" customWidth="1"/>
    <col min="4" max="4" width="12.140625" bestFit="1" customWidth="1"/>
    <col min="5" max="5" width="33.28515625" bestFit="1" customWidth="1"/>
    <col min="6" max="6" width="12.28515625" bestFit="1" customWidth="1"/>
    <col min="7" max="7" width="80.140625" bestFit="1" customWidth="1"/>
    <col min="8" max="8" width="31.28515625" style="3" bestFit="1" customWidth="1"/>
  </cols>
  <sheetData>
    <row r="1" spans="1:8">
      <c r="A1" s="1" t="s">
        <v>752</v>
      </c>
      <c r="B1" s="1" t="s">
        <v>753</v>
      </c>
      <c r="C1" s="1" t="s">
        <v>754</v>
      </c>
      <c r="D1" s="1" t="s">
        <v>755</v>
      </c>
      <c r="E1" s="1" t="s">
        <v>233</v>
      </c>
      <c r="F1" s="1" t="s">
        <v>756</v>
      </c>
      <c r="G1" s="1" t="s">
        <v>235</v>
      </c>
      <c r="H1" s="6" t="s">
        <v>10</v>
      </c>
    </row>
    <row r="2" spans="1:8">
      <c r="A2" t="s">
        <v>757</v>
      </c>
      <c r="B2" t="s">
        <v>17</v>
      </c>
      <c r="C2" t="s">
        <v>15</v>
      </c>
      <c r="D2" t="s">
        <v>3</v>
      </c>
      <c r="E2" t="s">
        <v>132</v>
      </c>
      <c r="F2" t="s">
        <v>3</v>
      </c>
      <c r="G2" t="s">
        <v>758</v>
      </c>
      <c r="H2" s="37" t="s">
        <v>759</v>
      </c>
    </row>
    <row r="3" spans="1:8">
      <c r="A3">
        <v>1</v>
      </c>
      <c r="B3" t="s">
        <v>14</v>
      </c>
      <c r="C3" t="s">
        <v>218</v>
      </c>
      <c r="D3" t="s">
        <v>38</v>
      </c>
      <c r="E3" t="s">
        <v>135</v>
      </c>
      <c r="F3" t="s">
        <v>38</v>
      </c>
      <c r="G3" t="s">
        <v>760</v>
      </c>
      <c r="H3" s="37" t="s">
        <v>761</v>
      </c>
    </row>
    <row r="4" spans="1:8">
      <c r="A4">
        <v>2</v>
      </c>
      <c r="B4" t="s">
        <v>762</v>
      </c>
      <c r="C4" t="s">
        <v>219</v>
      </c>
      <c r="E4" t="s">
        <v>133</v>
      </c>
      <c r="F4" t="s">
        <v>134</v>
      </c>
      <c r="G4" t="s">
        <v>763</v>
      </c>
      <c r="H4" s="3" t="s">
        <v>764</v>
      </c>
    </row>
    <row r="5" spans="1:8">
      <c r="A5">
        <v>3</v>
      </c>
      <c r="C5" t="s">
        <v>224</v>
      </c>
      <c r="G5" t="s">
        <v>765</v>
      </c>
      <c r="H5" s="37" t="s">
        <v>766</v>
      </c>
    </row>
    <row r="6" spans="1:8">
      <c r="A6">
        <v>4</v>
      </c>
      <c r="C6" t="s">
        <v>226</v>
      </c>
      <c r="G6" t="s">
        <v>767</v>
      </c>
      <c r="H6" s="3" t="s">
        <v>768</v>
      </c>
    </row>
    <row r="7" spans="1:8">
      <c r="A7">
        <v>5</v>
      </c>
      <c r="C7" t="s">
        <v>18</v>
      </c>
      <c r="G7" t="s">
        <v>769</v>
      </c>
      <c r="H7" s="3" t="s">
        <v>770</v>
      </c>
    </row>
    <row r="8" spans="1:8">
      <c r="A8">
        <v>6</v>
      </c>
      <c r="C8" t="s">
        <v>229</v>
      </c>
      <c r="G8" t="s">
        <v>771</v>
      </c>
      <c r="H8" s="3" t="s">
        <v>772</v>
      </c>
    </row>
    <row r="9" spans="1:8">
      <c r="A9">
        <v>7</v>
      </c>
      <c r="G9" t="s">
        <v>773</v>
      </c>
      <c r="H9" s="3" t="s">
        <v>774</v>
      </c>
    </row>
    <row r="10" spans="1:8">
      <c r="A10">
        <v>8</v>
      </c>
      <c r="G10" t="s">
        <v>775</v>
      </c>
      <c r="H10" s="7" t="s">
        <v>776</v>
      </c>
    </row>
    <row r="11" spans="1:8">
      <c r="A11">
        <v>9</v>
      </c>
      <c r="G11" t="s">
        <v>777</v>
      </c>
      <c r="H11" s="3" t="s">
        <v>778</v>
      </c>
    </row>
    <row r="12" spans="1:8">
      <c r="A12">
        <v>10</v>
      </c>
      <c r="G12" t="s">
        <v>779</v>
      </c>
      <c r="H12" s="3" t="s">
        <v>780</v>
      </c>
    </row>
    <row r="13" spans="1:8">
      <c r="A13">
        <v>11</v>
      </c>
      <c r="G13" t="s">
        <v>781</v>
      </c>
      <c r="H13" s="3" t="s">
        <v>782</v>
      </c>
    </row>
    <row r="14" spans="1:8">
      <c r="A14">
        <v>12</v>
      </c>
      <c r="G14" t="s">
        <v>783</v>
      </c>
      <c r="H14" s="3" t="s">
        <v>784</v>
      </c>
    </row>
    <row r="15" spans="1:8">
      <c r="G15" t="s">
        <v>785</v>
      </c>
      <c r="H15" s="3" t="s">
        <v>786</v>
      </c>
    </row>
    <row r="16" spans="1:8">
      <c r="G16" t="s">
        <v>787</v>
      </c>
      <c r="H16" s="3" t="s">
        <v>788</v>
      </c>
    </row>
    <row r="17" spans="7:8">
      <c r="G17" t="s">
        <v>789</v>
      </c>
      <c r="H17" s="37" t="s">
        <v>790</v>
      </c>
    </row>
    <row r="18" spans="7:8">
      <c r="G18" t="s">
        <v>791</v>
      </c>
      <c r="H18" s="3" t="s">
        <v>792</v>
      </c>
    </row>
    <row r="19" spans="7:8">
      <c r="G19" t="s">
        <v>793</v>
      </c>
      <c r="H19" s="3" t="s">
        <v>794</v>
      </c>
    </row>
    <row r="20" spans="7:8">
      <c r="G20" t="s">
        <v>795</v>
      </c>
      <c r="H20" s="3" t="s">
        <v>796</v>
      </c>
    </row>
    <row r="21" spans="7:8">
      <c r="G21" t="s">
        <v>797</v>
      </c>
      <c r="H21" s="3" t="s">
        <v>798</v>
      </c>
    </row>
    <row r="22" spans="7:8">
      <c r="G22" t="s">
        <v>799</v>
      </c>
      <c r="H22" s="3" t="s">
        <v>800</v>
      </c>
    </row>
    <row r="23" spans="7:8">
      <c r="H23" s="3" t="s">
        <v>801</v>
      </c>
    </row>
    <row r="24" spans="7:8">
      <c r="G24" s="1"/>
      <c r="H24" s="3" t="s">
        <v>802</v>
      </c>
    </row>
    <row r="25" spans="7:8">
      <c r="H25" s="3" t="s">
        <v>803</v>
      </c>
    </row>
    <row r="26" spans="7:8">
      <c r="H26" s="3" t="s">
        <v>804</v>
      </c>
    </row>
    <row r="27" spans="7:8">
      <c r="H27" s="3" t="s">
        <v>805</v>
      </c>
    </row>
    <row r="28" spans="7:8">
      <c r="H28" s="3" t="s">
        <v>806</v>
      </c>
    </row>
    <row r="29" spans="7:8">
      <c r="H29" s="3" t="s">
        <v>807</v>
      </c>
    </row>
    <row r="30" spans="7:8">
      <c r="H30" s="3" t="s">
        <v>808</v>
      </c>
    </row>
    <row r="31" spans="7:8">
      <c r="H31" s="37" t="s">
        <v>809</v>
      </c>
    </row>
    <row r="32" spans="7:8">
      <c r="H32" s="3" t="s">
        <v>810</v>
      </c>
    </row>
    <row r="33" spans="8:8">
      <c r="H33" s="3" t="s">
        <v>811</v>
      </c>
    </row>
    <row r="34" spans="8:8">
      <c r="H34" s="3" t="s">
        <v>812</v>
      </c>
    </row>
    <row r="35" spans="8:8">
      <c r="H35" s="3" t="s">
        <v>813</v>
      </c>
    </row>
    <row r="36" spans="8:8">
      <c r="H36" s="3" t="s">
        <v>814</v>
      </c>
    </row>
    <row r="37" spans="8:8">
      <c r="H37" s="37" t="s">
        <v>815</v>
      </c>
    </row>
    <row r="38" spans="8:8">
      <c r="H38" s="37" t="s">
        <v>816</v>
      </c>
    </row>
    <row r="39" spans="8:8">
      <c r="H39" s="37" t="s">
        <v>817</v>
      </c>
    </row>
    <row r="40" spans="8:8">
      <c r="H40" s="3" t="s">
        <v>818</v>
      </c>
    </row>
    <row r="41" spans="8:8">
      <c r="H41" s="3" t="s">
        <v>819</v>
      </c>
    </row>
    <row r="42" spans="8:8">
      <c r="H42" s="3" t="s">
        <v>16</v>
      </c>
    </row>
    <row r="43" spans="8:8">
      <c r="H43" s="3" t="s">
        <v>820</v>
      </c>
    </row>
    <row r="44" spans="8:8">
      <c r="H44" s="3" t="s">
        <v>821</v>
      </c>
    </row>
    <row r="45" spans="8:8">
      <c r="H45" s="3" t="s">
        <v>822</v>
      </c>
    </row>
    <row r="46" spans="8:8">
      <c r="H46" s="3" t="s">
        <v>823</v>
      </c>
    </row>
    <row r="47" spans="8:8">
      <c r="H47" s="3" t="s">
        <v>824</v>
      </c>
    </row>
    <row r="48" spans="8:8">
      <c r="H48" s="37" t="s">
        <v>825</v>
      </c>
    </row>
    <row r="49" spans="8:8">
      <c r="H49" s="3" t="s">
        <v>826</v>
      </c>
    </row>
    <row r="50" spans="8:8">
      <c r="H50" s="3" t="s">
        <v>827</v>
      </c>
    </row>
    <row r="51" spans="8:8">
      <c r="H51" s="3" t="s">
        <v>828</v>
      </c>
    </row>
    <row r="52" spans="8:8">
      <c r="H52" s="3" t="s">
        <v>829</v>
      </c>
    </row>
    <row r="53" spans="8:8">
      <c r="H53" s="3" t="s">
        <v>830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Referral</vt:lpstr>
      <vt:lpstr>Roster</vt:lpstr>
      <vt:lpstr>Meetings</vt:lpstr>
      <vt:lpstr>Suicide</vt:lpstr>
      <vt:lpstr>Recommendations</vt:lpstr>
      <vt:lpstr>Non-Treatment Supports General</vt:lpstr>
      <vt:lpstr>Mental Health Treatment</vt:lpstr>
      <vt:lpstr>Drug &amp; Alcohol</vt:lpstr>
      <vt:lpstr>Report</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Wiedenheft, William</dc:creator>
  <cp:keywords/>
  <dc:description/>
  <cp:lastModifiedBy>Eugene Breault</cp:lastModifiedBy>
  <cp:revision/>
  <dcterms:created xsi:type="dcterms:W3CDTF">2015-06-05T18:17:20Z</dcterms:created>
  <dcterms:modified xsi:type="dcterms:W3CDTF">2025-09-15T15:01:29Z</dcterms:modified>
  <cp:category/>
  <cp:contentStatus/>
</cp:coreProperties>
</file>